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3.xml" ContentType="application/vnd.openxmlformats-officedocument.drawing+xml"/>
  <Override PartName="/xl/comments11.xml" ContentType="application/vnd.openxmlformats-officedocument.spreadsheetml.comments+xml"/>
  <Override PartName="/xl/drawings/drawing4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omments17.xml" ContentType="application/vnd.openxmlformats-officedocument.spreadsheetml.comments+xml"/>
  <Override PartName="/xl/drawings/drawing7.xml" ContentType="application/vnd.openxmlformats-officedocument.drawing+xml"/>
  <Override PartName="/xl/comments18.xml" ContentType="application/vnd.openxmlformats-officedocument.spreadsheetml.comments+xml"/>
  <Override PartName="/xl/drawings/drawing8.xml" ContentType="application/vnd.openxmlformats-officedocument.drawing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W:\งานงบประมาณและการเงิน\12.สรุปเงิน\สรุปเงิน (ปีงบประมาณ 2568)\สรุปเงิน\สรุปบัญชีการเงินปี 68\3. 27 ธ.ค. 67\"/>
    </mc:Choice>
  </mc:AlternateContent>
  <xr:revisionPtr revIDLastSave="0" documentId="13_ncr:1_{52B6D8A9-D124-41A5-8BD6-116451BD4528}" xr6:coauthVersionLast="47" xr6:coauthVersionMax="47" xr10:uidLastSave="{00000000-0000-0000-0000-000000000000}"/>
  <bookViews>
    <workbookView xWindow="-120" yWindow="-120" windowWidth="24240" windowHeight="13020" tabRatio="557" firstSheet="24" activeTab="29" xr2:uid="{00000000-000D-0000-FFFF-FFFF00000000}"/>
  </bookViews>
  <sheets>
    <sheet name="หน้างบฯ" sheetId="58" state="hidden" r:id="rId1"/>
    <sheet name="1.สรุปการใช้เงิน" sheetId="61" state="hidden" r:id="rId2"/>
    <sheet name="2.รายละเอียดการใช้เงิน" sheetId="59" state="hidden" r:id="rId3"/>
    <sheet name="3.ตารางโอนเงินให้ สศท." sheetId="60" state="hidden" r:id="rId4"/>
    <sheet name="1สรุปรายงบ (2)" sheetId="76" state="hidden" r:id="rId5"/>
    <sheet name="2สรุปตามการจัดสรร (2)" sheetId="77" state="hidden" r:id="rId6"/>
    <sheet name="1. เปรียบเทียบกับ ส่วนการเงิน" sheetId="91" state="hidden" r:id="rId7"/>
    <sheet name="1.สรุปรายละเอียดการรับจ่าย งปม." sheetId="85" state="hidden" r:id="rId8"/>
    <sheet name="แผนส่วน Q4" sheetId="88" state="hidden" r:id="rId9"/>
    <sheet name="1. แผน-ผลการใช้จ่าย ส.ค. - ก.ย." sheetId="89" state="hidden" r:id="rId10"/>
    <sheet name="แผนส่วน ส.ค. - ก.ย. 65" sheetId="90" state="hidden" r:id="rId11"/>
    <sheet name="1. แผน-ผลการใช้จ่าย เม.ย.-ก (2)" sheetId="87" state="hidden" r:id="rId12"/>
    <sheet name="รายละเอียด MA ปี 66" sheetId="96" state="hidden" r:id="rId13"/>
    <sheet name=" MA ปี 66 ณ Q1-2" sheetId="97" state="hidden" r:id="rId14"/>
    <sheet name="1. แผน-ผลการใช้จ่าย เม.ย.-ก.ย" sheetId="84" state="hidden" r:id="rId15"/>
    <sheet name="แผนใช้จ่าย เม.ย.-ก.ย" sheetId="83" state="hidden" r:id="rId16"/>
    <sheet name="2 สรุปตามงบที่ได้รับมาแล้วcopy" sheetId="86" state="hidden" r:id="rId17"/>
    <sheet name="2 สรุปตามงบที่ได้รับมาแล้ว" sheetId="82" state="hidden" r:id="rId18"/>
    <sheet name="โอนเปลี่ยนแปลง ปี66" sheetId="100" state="hidden" r:id="rId19"/>
    <sheet name="สรุปเงินรับโอน " sheetId="98" state="hidden" r:id="rId20"/>
    <sheet name="จัดสรรงบประมาณ" sheetId="94" state="hidden" r:id="rId21"/>
    <sheet name="จัดสรรงบประมาณ (2)" sheetId="99" state="hidden" r:id="rId22"/>
    <sheet name="จัดสรรงบประมาณ 3" sheetId="101" state="hidden" r:id="rId23"/>
    <sheet name="แผนใช้จ่าย 66 พลางก่อน 8 เดือน" sheetId="108" state="hidden" r:id="rId24"/>
    <sheet name="กราฟ " sheetId="107" r:id="rId25"/>
    <sheet name="5สรุปรายงบ (66 พลางก่อน)" sheetId="41" state="hidden" r:id="rId26"/>
    <sheet name="3ผลเบิกจ่ายส่วนฝ่าย" sheetId="81" state="hidden" r:id="rId27"/>
    <sheet name="5. สรุปรายงบ 2567" sheetId="109" state="hidden" r:id="rId28"/>
    <sheet name="5. สรุปรายงบ 2568" sheetId="110" r:id="rId29"/>
    <sheet name="4 สรุปตามการจัดสรร 2+3" sheetId="44" r:id="rId30"/>
    <sheet name="3 จัดสรรเพื่อบริหาร" sheetId="35" r:id="rId31"/>
    <sheet name="2 จัดสรรให้ส่วนฝ่าย" sheetId="51" r:id="rId32"/>
    <sheet name=" 1.ประยุกต์ใช้เทคโนฯ" sheetId="79" r:id="rId33"/>
    <sheet name="2.บูรณาการฯ" sheetId="106" r:id="rId34"/>
    <sheet name="3.single Maps" sheetId="111" r:id="rId35"/>
    <sheet name="4.ต้นทุน" sheetId="48" r:id="rId36"/>
    <sheet name="5.Crop Cutiing" sheetId="70" r:id="rId37"/>
    <sheet name="6.จัดทำข้อมูลปริมาณการผลิตพืชเศ" sheetId="78" r:id="rId38"/>
    <sheet name="7.ประมาณการและติดตามภาวะ" sheetId="49" r:id="rId39"/>
    <sheet name="8.รายงานสถานการณ์โดย ศกอ." sheetId="66" r:id="rId40"/>
    <sheet name="9. เกษตรปลอดภัย" sheetId="102" r:id="rId41"/>
    <sheet name="10.เกษตรอัตลักษณ์" sheetId="112" r:id="rId42"/>
    <sheet name="11.บริหารจัดการฟาร์ม" sheetId="103" state="hidden" r:id="rId43"/>
    <sheet name="11.ไม้ผล" sheetId="113" r:id="rId44"/>
    <sheet name="12.Digtal survey" sheetId="114" r:id="rId45"/>
    <sheet name="13.สภาพอากาศต่อต้นทุน" sheetId="115" r:id="rId46"/>
    <sheet name="14.พัฒนา ศกอ." sheetId="75" r:id="rId47"/>
    <sheet name="15.ข้อมูลกรอบตัวอย่างโดย อกม" sheetId="73" r:id="rId48"/>
    <sheet name="16.Socio" sheetId="74" r:id="rId49"/>
    <sheet name="17.ซื้อคอมทดแทน" sheetId="67" r:id="rId50"/>
    <sheet name="19.จัดหาคอมและซอฟท์แวร์" sheetId="104" state="hidden" r:id="rId51"/>
    <sheet name="20.ซื้อคอมทดแทนระบบเครือข่าย" sheetId="105" state="hidden" r:id="rId52"/>
    <sheet name="คชจ.ตปท." sheetId="63" r:id="rId53"/>
    <sheet name="ประชุมระหว่างประเทศ" sheetId="62" r:id="rId54"/>
    <sheet name="Sheet2" sheetId="54" state="hidden" r:id="rId55"/>
  </sheets>
  <externalReferences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xlnm.Print_Area" localSheetId="17">'2 สรุปตามงบที่ได้รับมาแล้ว'!$A$1:$N$31</definedName>
    <definedName name="_xlnm.Print_Area" localSheetId="16">'2 สรุปตามงบที่ได้รับมาแล้วcopy'!$A$1:$N$31</definedName>
    <definedName name="_xlnm.Print_Area" localSheetId="29">'4 สรุปตามการจัดสรร 2+3'!$A$1:$H$55</definedName>
    <definedName name="_xlnm.Print_Area" localSheetId="27">'5. สรุปรายงบ 2567'!$A$1:$W$78</definedName>
    <definedName name="_xlnm.Print_Area" localSheetId="28">'5. สรุปรายงบ 2568'!$A$1:$V$110</definedName>
    <definedName name="_xlnm.Print_Area" localSheetId="25">'5สรุปรายงบ (66 พลางก่อน)'!$A$1:$W$67</definedName>
    <definedName name="_xlnm.Print_Titles" localSheetId="2">'2.รายละเอียดการใช้เงิน'!$3:$4</definedName>
    <definedName name="_xlnm.Print_Titles" localSheetId="28">'5. สรุปรายงบ 2568'!$3:$6</definedName>
    <definedName name="_xlnm.Print_Titles" localSheetId="54">Sheet2!$A:$A</definedName>
    <definedName name="_xlnm.Print_Titles" localSheetId="20">จัดสรรงบประมาณ!$1:$3</definedName>
    <definedName name="_xlnm.Print_Titles" localSheetId="21">'จัดสรรงบประมาณ (2)'!$1:$4</definedName>
    <definedName name="_xlnm.Print_Titles" localSheetId="22">'จัดสรรงบประมาณ 3'!$1:$4</definedName>
    <definedName name="_xlnm.Print_Titles" localSheetId="23">'แผนใช้จ่าย 66 พลางก่อน 8 เดือน'!$1:$3</definedName>
  </definedNames>
  <calcPr calcId="191029"/>
</workbook>
</file>

<file path=xl/calcChain.xml><?xml version="1.0" encoding="utf-8"?>
<calcChain xmlns="http://schemas.openxmlformats.org/spreadsheetml/2006/main">
  <c r="B10" i="109" l="1"/>
  <c r="O7" i="109" l="1"/>
  <c r="J8" i="109" l="1"/>
  <c r="J7" i="109" s="1"/>
  <c r="D8" i="109"/>
  <c r="D7" i="109" s="1"/>
  <c r="C9" i="109"/>
  <c r="C8" i="109" s="1"/>
  <c r="C7" i="109" s="1"/>
  <c r="O43" i="109" l="1"/>
  <c r="F22" i="109" l="1"/>
  <c r="F21" i="109"/>
  <c r="B13" i="109" l="1"/>
  <c r="B12" i="109"/>
  <c r="B11" i="109" s="1"/>
  <c r="B9" i="109" s="1"/>
  <c r="B8" i="109" s="1"/>
  <c r="B7" i="109" s="1"/>
  <c r="CB25" i="54" l="1"/>
  <c r="BR25" i="54"/>
  <c r="BH25" i="54"/>
  <c r="AX25" i="54"/>
  <c r="AN25" i="54"/>
  <c r="AD25" i="54"/>
  <c r="T25" i="54"/>
  <c r="J25" i="54"/>
  <c r="J21" i="54" s="1"/>
  <c r="B25" i="54"/>
  <c r="CB24" i="54"/>
  <c r="BR24" i="54"/>
  <c r="BH24" i="54"/>
  <c r="AX24" i="54"/>
  <c r="AN24" i="54"/>
  <c r="AD24" i="54"/>
  <c r="T24" i="54"/>
  <c r="T21" i="54" s="1"/>
  <c r="J24" i="54"/>
  <c r="B24" i="54"/>
  <c r="CB23" i="54"/>
  <c r="BR23" i="54"/>
  <c r="BH23" i="54"/>
  <c r="AX23" i="54"/>
  <c r="AX21" i="54" s="1"/>
  <c r="AN23" i="54"/>
  <c r="AD23" i="54"/>
  <c r="AD21" i="54" s="1"/>
  <c r="T23" i="54"/>
  <c r="J23" i="54"/>
  <c r="B23" i="54"/>
  <c r="CB22" i="54"/>
  <c r="BR22" i="54"/>
  <c r="BH22" i="54"/>
  <c r="BH21" i="54" s="1"/>
  <c r="AX22" i="54"/>
  <c r="AN22" i="54"/>
  <c r="AN21" i="54" s="1"/>
  <c r="AD22" i="54"/>
  <c r="T22" i="54"/>
  <c r="J22" i="54"/>
  <c r="B22" i="54"/>
  <c r="CB21" i="54"/>
  <c r="BR21" i="54"/>
  <c r="B21" i="54"/>
  <c r="CB20" i="54"/>
  <c r="BR20" i="54"/>
  <c r="BH20" i="54"/>
  <c r="AX20" i="54"/>
  <c r="AN20" i="54"/>
  <c r="AD20" i="54"/>
  <c r="T20" i="54"/>
  <c r="J20" i="54"/>
  <c r="B20" i="54"/>
  <c r="CB19" i="54"/>
  <c r="BR19" i="54"/>
  <c r="BH19" i="54"/>
  <c r="AX19" i="54"/>
  <c r="AN19" i="54"/>
  <c r="AD19" i="54"/>
  <c r="T19" i="54"/>
  <c r="J19" i="54"/>
  <c r="B19" i="54"/>
  <c r="CB18" i="54"/>
  <c r="BR18" i="54"/>
  <c r="BH18" i="54"/>
  <c r="AX18" i="54"/>
  <c r="AN18" i="54"/>
  <c r="AD18" i="54"/>
  <c r="T18" i="54"/>
  <c r="J18" i="54"/>
  <c r="B18" i="54"/>
  <c r="CB17" i="54"/>
  <c r="BR17" i="54"/>
  <c r="BH17" i="54"/>
  <c r="AX17" i="54"/>
  <c r="AN17" i="54"/>
  <c r="AD17" i="54"/>
  <c r="T17" i="54"/>
  <c r="J17" i="54"/>
  <c r="B17" i="54"/>
  <c r="CB16" i="54"/>
  <c r="BR16" i="54"/>
  <c r="BH16" i="54"/>
  <c r="AX16" i="54"/>
  <c r="AN16" i="54"/>
  <c r="AD16" i="54"/>
  <c r="T16" i="54"/>
  <c r="J16" i="54"/>
  <c r="B16" i="54"/>
  <c r="CB15" i="54"/>
  <c r="BR15" i="54"/>
  <c r="BH15" i="54"/>
  <c r="BH12" i="54" s="1"/>
  <c r="AX15" i="54"/>
  <c r="AN15" i="54"/>
  <c r="AD15" i="54"/>
  <c r="T15" i="54"/>
  <c r="J15" i="54"/>
  <c r="B15" i="54"/>
  <c r="CB14" i="54"/>
  <c r="BR14" i="54"/>
  <c r="BH14" i="54"/>
  <c r="AX14" i="54"/>
  <c r="AN14" i="54"/>
  <c r="AD14" i="54"/>
  <c r="T14" i="54"/>
  <c r="J14" i="54"/>
  <c r="B14" i="54"/>
  <c r="CB13" i="54"/>
  <c r="BR13" i="54"/>
  <c r="BH13" i="54"/>
  <c r="AX13" i="54"/>
  <c r="AN13" i="54"/>
  <c r="AD13" i="54"/>
  <c r="T13" i="54"/>
  <c r="J13" i="54"/>
  <c r="B13" i="54"/>
  <c r="CB11" i="54"/>
  <c r="BR11" i="54"/>
  <c r="BH11" i="54"/>
  <c r="AX11" i="54"/>
  <c r="AN11" i="54"/>
  <c r="AD11" i="54"/>
  <c r="T11" i="54"/>
  <c r="J11" i="54"/>
  <c r="CB10" i="54"/>
  <c r="BR10" i="54"/>
  <c r="BH10" i="54"/>
  <c r="AX10" i="54"/>
  <c r="AN10" i="54"/>
  <c r="AD10" i="54"/>
  <c r="T10" i="54"/>
  <c r="T7" i="54" s="1"/>
  <c r="J10" i="54"/>
  <c r="B10" i="54"/>
  <c r="CB9" i="54"/>
  <c r="CB7" i="54" s="1"/>
  <c r="BR9" i="54"/>
  <c r="BH9" i="54"/>
  <c r="AX9" i="54"/>
  <c r="AN9" i="54"/>
  <c r="AD9" i="54"/>
  <c r="T9" i="54"/>
  <c r="J9" i="54"/>
  <c r="B9" i="54"/>
  <c r="B7" i="54" s="1"/>
  <c r="CB8" i="54"/>
  <c r="BR8" i="54"/>
  <c r="BH8" i="54"/>
  <c r="BH7" i="54" s="1"/>
  <c r="AX8" i="54"/>
  <c r="AN8" i="54"/>
  <c r="AN7" i="54" s="1"/>
  <c r="AD8" i="54"/>
  <c r="T8" i="54"/>
  <c r="J8" i="54"/>
  <c r="J7" i="54" s="1"/>
  <c r="B8" i="54"/>
  <c r="AX7" i="54"/>
  <c r="E173" i="105"/>
  <c r="B173" i="105"/>
  <c r="E172" i="105"/>
  <c r="B172" i="105"/>
  <c r="E171" i="105"/>
  <c r="B171" i="105"/>
  <c r="E170" i="105"/>
  <c r="B170" i="105"/>
  <c r="B169" i="105" s="1"/>
  <c r="G169" i="105"/>
  <c r="F169" i="105"/>
  <c r="D169" i="105"/>
  <c r="C169" i="105"/>
  <c r="E165" i="105"/>
  <c r="B165" i="105"/>
  <c r="E164" i="105"/>
  <c r="B164" i="105"/>
  <c r="E163" i="105"/>
  <c r="B163" i="105"/>
  <c r="E162" i="105"/>
  <c r="B162" i="105"/>
  <c r="E161" i="105"/>
  <c r="B161" i="105"/>
  <c r="E160" i="105"/>
  <c r="E159" i="105" s="1"/>
  <c r="B160" i="105"/>
  <c r="B159" i="105" s="1"/>
  <c r="G159" i="105"/>
  <c r="F159" i="105"/>
  <c r="F154" i="105" s="1"/>
  <c r="D159" i="105"/>
  <c r="C159" i="105"/>
  <c r="E157" i="105"/>
  <c r="B157" i="105"/>
  <c r="E156" i="105"/>
  <c r="B156" i="105"/>
  <c r="B155" i="105" s="1"/>
  <c r="B154" i="105" s="1"/>
  <c r="G155" i="105"/>
  <c r="F155" i="105"/>
  <c r="E155" i="105"/>
  <c r="D155" i="105"/>
  <c r="C155" i="105"/>
  <c r="D154" i="105"/>
  <c r="E136" i="105"/>
  <c r="B136" i="105"/>
  <c r="E135" i="105"/>
  <c r="B135" i="105"/>
  <c r="E134" i="105"/>
  <c r="B134" i="105"/>
  <c r="E133" i="105"/>
  <c r="E131" i="105" s="1"/>
  <c r="B133" i="105"/>
  <c r="E132" i="105"/>
  <c r="B132" i="105"/>
  <c r="B131" i="105" s="1"/>
  <c r="G131" i="105"/>
  <c r="F131" i="105"/>
  <c r="D131" i="105"/>
  <c r="C131" i="105"/>
  <c r="E129" i="105"/>
  <c r="B129" i="105"/>
  <c r="E128" i="105"/>
  <c r="B128" i="105"/>
  <c r="E127" i="105"/>
  <c r="B127" i="105"/>
  <c r="E126" i="105"/>
  <c r="B126" i="105"/>
  <c r="E125" i="105"/>
  <c r="B125" i="105"/>
  <c r="E124" i="105"/>
  <c r="B124" i="105"/>
  <c r="B123" i="105" s="1"/>
  <c r="G123" i="105"/>
  <c r="G117" i="105" s="1"/>
  <c r="F123" i="105"/>
  <c r="D123" i="105"/>
  <c r="C123" i="105"/>
  <c r="E121" i="105"/>
  <c r="B121" i="105"/>
  <c r="E120" i="105"/>
  <c r="B120" i="105"/>
  <c r="E119" i="105"/>
  <c r="B119" i="105"/>
  <c r="B118" i="105" s="1"/>
  <c r="G118" i="105"/>
  <c r="F118" i="105"/>
  <c r="D118" i="105"/>
  <c r="D117" i="105" s="1"/>
  <c r="C118" i="105"/>
  <c r="F117" i="105"/>
  <c r="E99" i="105"/>
  <c r="E98" i="105"/>
  <c r="G97" i="105"/>
  <c r="F97" i="105"/>
  <c r="F96" i="105"/>
  <c r="E96" i="105" s="1"/>
  <c r="B96" i="105"/>
  <c r="G95" i="105"/>
  <c r="F95" i="105"/>
  <c r="B95" i="105"/>
  <c r="B91" i="105" s="1"/>
  <c r="G94" i="105"/>
  <c r="F94" i="105"/>
  <c r="B94" i="105"/>
  <c r="G93" i="105"/>
  <c r="F93" i="105"/>
  <c r="B93" i="105"/>
  <c r="G92" i="105"/>
  <c r="F92" i="105"/>
  <c r="B92" i="105"/>
  <c r="D91" i="105"/>
  <c r="C91" i="105"/>
  <c r="G90" i="105"/>
  <c r="F90" i="105"/>
  <c r="G89" i="105"/>
  <c r="F89" i="105"/>
  <c r="G88" i="105"/>
  <c r="F88" i="105"/>
  <c r="G87" i="105"/>
  <c r="F87" i="105"/>
  <c r="B87" i="105"/>
  <c r="G86" i="105"/>
  <c r="F86" i="105"/>
  <c r="B86" i="105"/>
  <c r="G85" i="105"/>
  <c r="F85" i="105"/>
  <c r="B85" i="105"/>
  <c r="G84" i="105"/>
  <c r="F84" i="105"/>
  <c r="B84" i="105"/>
  <c r="G83" i="105"/>
  <c r="F83" i="105"/>
  <c r="B83" i="105"/>
  <c r="G82" i="105"/>
  <c r="F82" i="105"/>
  <c r="B82" i="105"/>
  <c r="D81" i="105"/>
  <c r="C81" i="105"/>
  <c r="G79" i="105"/>
  <c r="F79" i="105"/>
  <c r="B79" i="105"/>
  <c r="G78" i="105"/>
  <c r="F78" i="105"/>
  <c r="B78" i="105"/>
  <c r="D77" i="105"/>
  <c r="D76" i="105" s="1"/>
  <c r="C77" i="105"/>
  <c r="C76" i="105" s="1"/>
  <c r="E58" i="105"/>
  <c r="B58" i="105"/>
  <c r="E57" i="105"/>
  <c r="B57" i="105"/>
  <c r="E56" i="105"/>
  <c r="B56" i="105"/>
  <c r="E55" i="105"/>
  <c r="B55" i="105"/>
  <c r="G54" i="105"/>
  <c r="F54" i="105"/>
  <c r="D54" i="105"/>
  <c r="C54" i="105"/>
  <c r="B54" i="105"/>
  <c r="E50" i="105"/>
  <c r="B50" i="105"/>
  <c r="E49" i="105"/>
  <c r="B49" i="105"/>
  <c r="E48" i="105"/>
  <c r="B48" i="105"/>
  <c r="E47" i="105"/>
  <c r="B47" i="105"/>
  <c r="E46" i="105"/>
  <c r="B46" i="105"/>
  <c r="E45" i="105"/>
  <c r="B45" i="105"/>
  <c r="B44" i="105" s="1"/>
  <c r="G44" i="105"/>
  <c r="F44" i="105"/>
  <c r="E44" i="105"/>
  <c r="D44" i="105"/>
  <c r="D39" i="105" s="1"/>
  <c r="C44" i="105"/>
  <c r="E42" i="105"/>
  <c r="E40" i="105" s="1"/>
  <c r="B42" i="105"/>
  <c r="B40" i="105" s="1"/>
  <c r="E41" i="105"/>
  <c r="B41" i="105"/>
  <c r="G40" i="105"/>
  <c r="F40" i="105"/>
  <c r="D40" i="105"/>
  <c r="C40" i="105"/>
  <c r="C39" i="105" s="1"/>
  <c r="F39" i="105"/>
  <c r="G24" i="105"/>
  <c r="F24" i="105"/>
  <c r="D24" i="105"/>
  <c r="C24" i="105"/>
  <c r="G23" i="105"/>
  <c r="F23" i="105"/>
  <c r="D23" i="105"/>
  <c r="C23" i="105"/>
  <c r="G22" i="105"/>
  <c r="F22" i="105"/>
  <c r="D22" i="105"/>
  <c r="C22" i="105"/>
  <c r="G21" i="105"/>
  <c r="F21" i="105"/>
  <c r="D21" i="105"/>
  <c r="C21" i="105"/>
  <c r="G19" i="105"/>
  <c r="F19" i="105"/>
  <c r="D19" i="105"/>
  <c r="C19" i="105"/>
  <c r="G18" i="105"/>
  <c r="F18" i="105"/>
  <c r="D18" i="105"/>
  <c r="C18" i="105"/>
  <c r="G17" i="105"/>
  <c r="F17" i="105"/>
  <c r="D17" i="105"/>
  <c r="C17" i="105"/>
  <c r="G16" i="105"/>
  <c r="F16" i="105"/>
  <c r="D16" i="105"/>
  <c r="C16" i="105"/>
  <c r="G15" i="105"/>
  <c r="F15" i="105"/>
  <c r="D15" i="105"/>
  <c r="C15" i="105"/>
  <c r="G14" i="105"/>
  <c r="F14" i="105"/>
  <c r="D14" i="105"/>
  <c r="C14" i="105"/>
  <c r="G13" i="105"/>
  <c r="F13" i="105"/>
  <c r="D13" i="105"/>
  <c r="C13" i="105"/>
  <c r="G12" i="105"/>
  <c r="F12" i="105"/>
  <c r="D12" i="105"/>
  <c r="C12" i="105"/>
  <c r="G11" i="105"/>
  <c r="F11" i="105"/>
  <c r="D11" i="105"/>
  <c r="C11" i="105"/>
  <c r="G8" i="105"/>
  <c r="F8" i="105"/>
  <c r="D8" i="105"/>
  <c r="C8" i="105"/>
  <c r="G7" i="105"/>
  <c r="F7" i="105"/>
  <c r="D7" i="105"/>
  <c r="D6" i="105" s="1"/>
  <c r="C7" i="105"/>
  <c r="E173" i="104"/>
  <c r="B173" i="104"/>
  <c r="E172" i="104"/>
  <c r="B172" i="104"/>
  <c r="E171" i="104"/>
  <c r="B171" i="104"/>
  <c r="E170" i="104"/>
  <c r="B170" i="104"/>
  <c r="B169" i="104" s="1"/>
  <c r="G169" i="104"/>
  <c r="F169" i="104"/>
  <c r="D169" i="104"/>
  <c r="C169" i="104"/>
  <c r="E165" i="104"/>
  <c r="B165" i="104"/>
  <c r="E164" i="104"/>
  <c r="B164" i="104"/>
  <c r="E163" i="104"/>
  <c r="B163" i="104"/>
  <c r="E162" i="104"/>
  <c r="B162" i="104"/>
  <c r="E161" i="104"/>
  <c r="B161" i="104"/>
  <c r="E160" i="104"/>
  <c r="B160" i="104"/>
  <c r="G159" i="104"/>
  <c r="F159" i="104"/>
  <c r="D159" i="104"/>
  <c r="C159" i="104"/>
  <c r="E157" i="104"/>
  <c r="B157" i="104"/>
  <c r="E156" i="104"/>
  <c r="E155" i="104" s="1"/>
  <c r="B156" i="104"/>
  <c r="B155" i="104" s="1"/>
  <c r="G155" i="104"/>
  <c r="G154" i="104" s="1"/>
  <c r="F155" i="104"/>
  <c r="D155" i="104"/>
  <c r="C155" i="104"/>
  <c r="D154" i="104"/>
  <c r="C154" i="104"/>
  <c r="E136" i="104"/>
  <c r="B136" i="104"/>
  <c r="E135" i="104"/>
  <c r="B135" i="104"/>
  <c r="E134" i="104"/>
  <c r="B134" i="104"/>
  <c r="E133" i="104"/>
  <c r="B133" i="104"/>
  <c r="E132" i="104"/>
  <c r="E131" i="104" s="1"/>
  <c r="B132" i="104"/>
  <c r="G131" i="104"/>
  <c r="F131" i="104"/>
  <c r="D131" i="104"/>
  <c r="C131" i="104"/>
  <c r="E129" i="104"/>
  <c r="B129" i="104"/>
  <c r="E128" i="104"/>
  <c r="B128" i="104"/>
  <c r="E127" i="104"/>
  <c r="B127" i="104"/>
  <c r="E126" i="104"/>
  <c r="B126" i="104"/>
  <c r="E125" i="104"/>
  <c r="B125" i="104"/>
  <c r="B123" i="104" s="1"/>
  <c r="E124" i="104"/>
  <c r="E123" i="104" s="1"/>
  <c r="B124" i="104"/>
  <c r="G123" i="104"/>
  <c r="F123" i="104"/>
  <c r="D123" i="104"/>
  <c r="C123" i="104"/>
  <c r="E121" i="104"/>
  <c r="B121" i="104"/>
  <c r="E120" i="104"/>
  <c r="B120" i="104"/>
  <c r="E119" i="104"/>
  <c r="E118" i="104" s="1"/>
  <c r="B119" i="104"/>
  <c r="B118" i="104" s="1"/>
  <c r="G118" i="104"/>
  <c r="G117" i="104" s="1"/>
  <c r="F118" i="104"/>
  <c r="F117" i="104" s="1"/>
  <c r="D118" i="104"/>
  <c r="C118" i="104"/>
  <c r="D117" i="104"/>
  <c r="E99" i="104"/>
  <c r="E98" i="104"/>
  <c r="G97" i="104"/>
  <c r="F97" i="104"/>
  <c r="F96" i="104"/>
  <c r="B96" i="104"/>
  <c r="G95" i="104"/>
  <c r="F95" i="104"/>
  <c r="B95" i="104"/>
  <c r="G94" i="104"/>
  <c r="F94" i="104"/>
  <c r="B94" i="104"/>
  <c r="G93" i="104"/>
  <c r="F93" i="104"/>
  <c r="B93" i="104"/>
  <c r="G92" i="104"/>
  <c r="F92" i="104"/>
  <c r="B92" i="104"/>
  <c r="D91" i="104"/>
  <c r="D76" i="104" s="1"/>
  <c r="C91" i="104"/>
  <c r="B91" i="104"/>
  <c r="G89" i="104"/>
  <c r="F89" i="104"/>
  <c r="G88" i="104"/>
  <c r="F88" i="104"/>
  <c r="G87" i="104"/>
  <c r="F87" i="104"/>
  <c r="B87" i="104"/>
  <c r="G86" i="104"/>
  <c r="F86" i="104"/>
  <c r="B86" i="104"/>
  <c r="G85" i="104"/>
  <c r="F85" i="104"/>
  <c r="B85" i="104"/>
  <c r="G84" i="104"/>
  <c r="F84" i="104"/>
  <c r="B84" i="104"/>
  <c r="G83" i="104"/>
  <c r="F83" i="104"/>
  <c r="B83" i="104"/>
  <c r="G82" i="104"/>
  <c r="F82" i="104"/>
  <c r="B82" i="104"/>
  <c r="B81" i="104" s="1"/>
  <c r="D81" i="104"/>
  <c r="C81" i="104"/>
  <c r="G79" i="104"/>
  <c r="F79" i="104"/>
  <c r="B79" i="104"/>
  <c r="G78" i="104"/>
  <c r="F78" i="104"/>
  <c r="B78" i="104"/>
  <c r="B77" i="104" s="1"/>
  <c r="D77" i="104"/>
  <c r="C77" i="104"/>
  <c r="C76" i="104" s="1"/>
  <c r="E58" i="104"/>
  <c r="B58" i="104"/>
  <c r="E57" i="104"/>
  <c r="B57" i="104"/>
  <c r="E56" i="104"/>
  <c r="B56" i="104"/>
  <c r="E55" i="104"/>
  <c r="B55" i="104"/>
  <c r="G54" i="104"/>
  <c r="F54" i="104"/>
  <c r="D54" i="104"/>
  <c r="C54" i="104"/>
  <c r="B54" i="104"/>
  <c r="E50" i="104"/>
  <c r="B50" i="104"/>
  <c r="E49" i="104"/>
  <c r="B49" i="104"/>
  <c r="E48" i="104"/>
  <c r="B48" i="104"/>
  <c r="E47" i="104"/>
  <c r="B47" i="104"/>
  <c r="E46" i="104"/>
  <c r="B46" i="104"/>
  <c r="E45" i="104"/>
  <c r="E44" i="104" s="1"/>
  <c r="B45" i="104"/>
  <c r="B44" i="104" s="1"/>
  <c r="G44" i="104"/>
  <c r="F44" i="104"/>
  <c r="D44" i="104"/>
  <c r="C44" i="104"/>
  <c r="E42" i="104"/>
  <c r="B42" i="104"/>
  <c r="E41" i="104"/>
  <c r="E40" i="104" s="1"/>
  <c r="B41" i="104"/>
  <c r="G40" i="104"/>
  <c r="F40" i="104"/>
  <c r="D40" i="104"/>
  <c r="D39" i="104" s="1"/>
  <c r="C40" i="104"/>
  <c r="B40" i="104"/>
  <c r="F39" i="104"/>
  <c r="G24" i="104"/>
  <c r="F24" i="104"/>
  <c r="D24" i="104"/>
  <c r="C24" i="104"/>
  <c r="G23" i="104"/>
  <c r="F23" i="104"/>
  <c r="D23" i="104"/>
  <c r="C23" i="104"/>
  <c r="G22" i="104"/>
  <c r="F22" i="104"/>
  <c r="D22" i="104"/>
  <c r="C22" i="104"/>
  <c r="G21" i="104"/>
  <c r="F21" i="104"/>
  <c r="D21" i="104"/>
  <c r="C21" i="104"/>
  <c r="G19" i="104"/>
  <c r="F19" i="104"/>
  <c r="D19" i="104"/>
  <c r="C19" i="104"/>
  <c r="G18" i="104"/>
  <c r="F18" i="104"/>
  <c r="D18" i="104"/>
  <c r="C18" i="104"/>
  <c r="G17" i="104"/>
  <c r="F17" i="104"/>
  <c r="D17" i="104"/>
  <c r="C17" i="104"/>
  <c r="G16" i="104"/>
  <c r="F16" i="104"/>
  <c r="D16" i="104"/>
  <c r="C16" i="104"/>
  <c r="G15" i="104"/>
  <c r="F15" i="104"/>
  <c r="D15" i="104"/>
  <c r="C15" i="104"/>
  <c r="G14" i="104"/>
  <c r="F14" i="104"/>
  <c r="D14" i="104"/>
  <c r="C14" i="104"/>
  <c r="G13" i="104"/>
  <c r="F13" i="104"/>
  <c r="D13" i="104"/>
  <c r="C13" i="104"/>
  <c r="G12" i="104"/>
  <c r="F12" i="104"/>
  <c r="D12" i="104"/>
  <c r="C12" i="104"/>
  <c r="G11" i="104"/>
  <c r="F11" i="104"/>
  <c r="D11" i="104"/>
  <c r="C11" i="104"/>
  <c r="G8" i="104"/>
  <c r="F8" i="104"/>
  <c r="D8" i="104"/>
  <c r="C8" i="104"/>
  <c r="G7" i="104"/>
  <c r="F7" i="104"/>
  <c r="D7" i="104"/>
  <c r="C7" i="104"/>
  <c r="G169" i="103"/>
  <c r="F169" i="103"/>
  <c r="B169" i="103"/>
  <c r="G168" i="103"/>
  <c r="F168" i="103"/>
  <c r="B168" i="103"/>
  <c r="G167" i="103"/>
  <c r="F167" i="103"/>
  <c r="B167" i="103"/>
  <c r="G166" i="103"/>
  <c r="F166" i="103"/>
  <c r="C165" i="103"/>
  <c r="D165" i="103"/>
  <c r="G163" i="103"/>
  <c r="F163" i="103"/>
  <c r="G162" i="103"/>
  <c r="F162" i="103"/>
  <c r="G161" i="103"/>
  <c r="F161" i="103"/>
  <c r="B161" i="103"/>
  <c r="G160" i="103"/>
  <c r="F160" i="103"/>
  <c r="B160" i="103"/>
  <c r="G159" i="103"/>
  <c r="F159" i="103"/>
  <c r="B159" i="103"/>
  <c r="G158" i="103"/>
  <c r="F158" i="103"/>
  <c r="B158" i="103"/>
  <c r="G157" i="103"/>
  <c r="F157" i="103"/>
  <c r="B157" i="103"/>
  <c r="G156" i="103"/>
  <c r="F156" i="103"/>
  <c r="D155" i="103"/>
  <c r="B156" i="103"/>
  <c r="G153" i="103"/>
  <c r="F153" i="103"/>
  <c r="B153" i="103"/>
  <c r="G152" i="103"/>
  <c r="F152" i="103"/>
  <c r="B152" i="103"/>
  <c r="B151" i="103" s="1"/>
  <c r="D151" i="103"/>
  <c r="D150" i="103" s="1"/>
  <c r="C151" i="103"/>
  <c r="C150" i="103" s="1"/>
  <c r="E132" i="103"/>
  <c r="D132" i="103"/>
  <c r="C132" i="103"/>
  <c r="E131" i="103"/>
  <c r="D131" i="103"/>
  <c r="C131" i="103"/>
  <c r="E130" i="103"/>
  <c r="D130" i="103"/>
  <c r="C130" i="103"/>
  <c r="G128" i="103"/>
  <c r="D129" i="103"/>
  <c r="C129" i="103"/>
  <c r="D127" i="103"/>
  <c r="C127" i="103"/>
  <c r="E126" i="103"/>
  <c r="D126" i="103"/>
  <c r="C126" i="103"/>
  <c r="E125" i="103"/>
  <c r="D125" i="103"/>
  <c r="C125" i="103"/>
  <c r="E124" i="103"/>
  <c r="D124" i="103"/>
  <c r="C124" i="103"/>
  <c r="E123" i="103"/>
  <c r="D123" i="103"/>
  <c r="C123" i="103"/>
  <c r="E122" i="103"/>
  <c r="D122" i="103"/>
  <c r="C122" i="103"/>
  <c r="E121" i="103"/>
  <c r="D121" i="103"/>
  <c r="C121" i="103"/>
  <c r="E120" i="103"/>
  <c r="D120" i="103"/>
  <c r="C120" i="103"/>
  <c r="E119" i="103"/>
  <c r="D119" i="103"/>
  <c r="C119" i="103"/>
  <c r="G118" i="103"/>
  <c r="F118" i="103"/>
  <c r="E116" i="103"/>
  <c r="D116" i="103"/>
  <c r="C116" i="103"/>
  <c r="E115" i="103"/>
  <c r="E114" i="103" s="1"/>
  <c r="D115" i="103"/>
  <c r="C115" i="103"/>
  <c r="G114" i="103"/>
  <c r="G113" i="103"/>
  <c r="G95" i="103"/>
  <c r="L24" i="103" s="1"/>
  <c r="F95" i="103"/>
  <c r="B95" i="103"/>
  <c r="G94" i="103"/>
  <c r="L23" i="103" s="1"/>
  <c r="F94" i="103"/>
  <c r="B94" i="103"/>
  <c r="G93" i="103"/>
  <c r="F93" i="103"/>
  <c r="B93" i="103"/>
  <c r="G92" i="103"/>
  <c r="L21" i="103" s="1"/>
  <c r="F92" i="103"/>
  <c r="K21" i="103" s="1"/>
  <c r="D91" i="103"/>
  <c r="B92" i="103"/>
  <c r="B91" i="103" s="1"/>
  <c r="C91" i="103"/>
  <c r="G89" i="103"/>
  <c r="L18" i="103" s="1"/>
  <c r="F89" i="103"/>
  <c r="K18" i="103" s="1"/>
  <c r="G88" i="103"/>
  <c r="L17" i="103" s="1"/>
  <c r="F88" i="103"/>
  <c r="K17" i="103" s="1"/>
  <c r="G87" i="103"/>
  <c r="F87" i="103"/>
  <c r="B87" i="103"/>
  <c r="G86" i="103"/>
  <c r="L15" i="103" s="1"/>
  <c r="F86" i="103"/>
  <c r="B86" i="103"/>
  <c r="G85" i="103"/>
  <c r="L14" i="103" s="1"/>
  <c r="F85" i="103"/>
  <c r="B85" i="103"/>
  <c r="G84" i="103"/>
  <c r="F84" i="103"/>
  <c r="B84" i="103"/>
  <c r="G83" i="103"/>
  <c r="L12" i="103" s="1"/>
  <c r="F83" i="103"/>
  <c r="B83" i="103"/>
  <c r="G82" i="103"/>
  <c r="L11" i="103" s="1"/>
  <c r="F82" i="103"/>
  <c r="D81" i="103"/>
  <c r="B82" i="103"/>
  <c r="G79" i="103"/>
  <c r="L8" i="103" s="1"/>
  <c r="F79" i="103"/>
  <c r="K8" i="103" s="1"/>
  <c r="B79" i="103"/>
  <c r="G78" i="103"/>
  <c r="F78" i="103"/>
  <c r="B78" i="103"/>
  <c r="D77" i="103"/>
  <c r="C77" i="103"/>
  <c r="E58" i="103"/>
  <c r="D58" i="103"/>
  <c r="C58" i="103"/>
  <c r="E57" i="103"/>
  <c r="D57" i="103"/>
  <c r="C57" i="103"/>
  <c r="E56" i="103"/>
  <c r="D56" i="103"/>
  <c r="C56" i="103"/>
  <c r="G54" i="103"/>
  <c r="E55" i="103"/>
  <c r="D55" i="103"/>
  <c r="C55" i="103"/>
  <c r="F54" i="103"/>
  <c r="D53" i="103"/>
  <c r="C53" i="103"/>
  <c r="E52" i="103"/>
  <c r="D52" i="103"/>
  <c r="C52" i="103"/>
  <c r="E51" i="103"/>
  <c r="D51" i="103"/>
  <c r="C51" i="103"/>
  <c r="E50" i="103"/>
  <c r="D50" i="103"/>
  <c r="C50" i="103"/>
  <c r="E49" i="103"/>
  <c r="D49" i="103"/>
  <c r="C49" i="103"/>
  <c r="E48" i="103"/>
  <c r="D48" i="103"/>
  <c r="C48" i="103"/>
  <c r="E47" i="103"/>
  <c r="D47" i="103"/>
  <c r="C47" i="103"/>
  <c r="E46" i="103"/>
  <c r="D46" i="103"/>
  <c r="C46" i="103"/>
  <c r="G44" i="103"/>
  <c r="F44" i="103"/>
  <c r="E45" i="103"/>
  <c r="D45" i="103"/>
  <c r="C45" i="103"/>
  <c r="E42" i="103"/>
  <c r="D42" i="103"/>
  <c r="C42" i="103"/>
  <c r="D41" i="103"/>
  <c r="C41" i="103"/>
  <c r="G40" i="103"/>
  <c r="G24" i="103"/>
  <c r="F24" i="103"/>
  <c r="D24" i="103"/>
  <c r="C24" i="103"/>
  <c r="G23" i="103"/>
  <c r="F23" i="103"/>
  <c r="D23" i="103"/>
  <c r="C23" i="103"/>
  <c r="L22" i="103"/>
  <c r="G22" i="103"/>
  <c r="F22" i="103"/>
  <c r="D22" i="103"/>
  <c r="C22" i="103"/>
  <c r="G21" i="103"/>
  <c r="F21" i="103"/>
  <c r="D21" i="103"/>
  <c r="C21" i="103"/>
  <c r="L19" i="103"/>
  <c r="K19" i="103"/>
  <c r="J19" i="103"/>
  <c r="G19" i="103"/>
  <c r="F19" i="103"/>
  <c r="D19" i="103"/>
  <c r="C19" i="103"/>
  <c r="G18" i="103"/>
  <c r="F18" i="103"/>
  <c r="D18" i="103"/>
  <c r="C18" i="103"/>
  <c r="G17" i="103"/>
  <c r="F17" i="103"/>
  <c r="D17" i="103"/>
  <c r="C17" i="103"/>
  <c r="G16" i="103"/>
  <c r="F16" i="103"/>
  <c r="D16" i="103"/>
  <c r="C16" i="103"/>
  <c r="K15" i="103"/>
  <c r="G15" i="103"/>
  <c r="F15" i="103"/>
  <c r="D15" i="103"/>
  <c r="C15" i="103"/>
  <c r="K14" i="103"/>
  <c r="G14" i="103"/>
  <c r="F14" i="103"/>
  <c r="D14" i="103"/>
  <c r="C14" i="103"/>
  <c r="K13" i="103"/>
  <c r="G13" i="103"/>
  <c r="F13" i="103"/>
  <c r="D13" i="103"/>
  <c r="C13" i="103"/>
  <c r="G12" i="103"/>
  <c r="F12" i="103"/>
  <c r="D12" i="103"/>
  <c r="C12" i="103"/>
  <c r="G11" i="103"/>
  <c r="F11" i="103"/>
  <c r="D11" i="103"/>
  <c r="C11" i="103"/>
  <c r="G8" i="103"/>
  <c r="F8" i="103"/>
  <c r="D8" i="103"/>
  <c r="C8" i="103"/>
  <c r="G7" i="103"/>
  <c r="F7" i="103"/>
  <c r="D7" i="103"/>
  <c r="C7" i="103"/>
  <c r="T39" i="89"/>
  <c r="F48" i="89"/>
  <c r="E33" i="59"/>
  <c r="D33" i="59"/>
  <c r="E32" i="59"/>
  <c r="F32" i="59" s="1"/>
  <c r="E31" i="59"/>
  <c r="F31" i="59" s="1"/>
  <c r="F46" i="89"/>
  <c r="E29" i="59"/>
  <c r="F44" i="89"/>
  <c r="E27" i="59"/>
  <c r="F42" i="84"/>
  <c r="E49" i="59"/>
  <c r="F49" i="59" s="1"/>
  <c r="E48" i="59"/>
  <c r="F48" i="59" s="1"/>
  <c r="E47" i="59"/>
  <c r="F47" i="59" s="1"/>
  <c r="F37" i="89"/>
  <c r="E46" i="59"/>
  <c r="F46" i="59" s="1"/>
  <c r="E45" i="59"/>
  <c r="F45" i="59" s="1"/>
  <c r="F35" i="84"/>
  <c r="E44" i="59"/>
  <c r="F44" i="59" s="1"/>
  <c r="F34" i="89"/>
  <c r="E40" i="59"/>
  <c r="F40" i="59" s="1"/>
  <c r="F32" i="89"/>
  <c r="D39" i="59"/>
  <c r="F30" i="84"/>
  <c r="F29" i="84"/>
  <c r="T26" i="108"/>
  <c r="AF26" i="108" s="1"/>
  <c r="F28" i="89"/>
  <c r="E25" i="108"/>
  <c r="E24" i="108"/>
  <c r="E23" i="108"/>
  <c r="E22" i="108"/>
  <c r="E21" i="108"/>
  <c r="E20" i="108"/>
  <c r="E19" i="108"/>
  <c r="E18" i="108"/>
  <c r="E17" i="108"/>
  <c r="E16" i="108"/>
  <c r="H2" i="59"/>
  <c r="E2" i="60" s="1"/>
  <c r="E50" i="109"/>
  <c r="F50" i="109" s="1"/>
  <c r="F49" i="109"/>
  <c r="E49" i="109"/>
  <c r="E48" i="109"/>
  <c r="F48" i="109" s="1"/>
  <c r="D47" i="109"/>
  <c r="D46" i="109" s="1"/>
  <c r="C47" i="109"/>
  <c r="E47" i="109" s="1"/>
  <c r="B47" i="109"/>
  <c r="C46" i="109"/>
  <c r="C45" i="109" s="1"/>
  <c r="I44" i="109"/>
  <c r="H44" i="109"/>
  <c r="E44" i="109"/>
  <c r="F44" i="109" s="1"/>
  <c r="I43" i="109"/>
  <c r="H43" i="109"/>
  <c r="E43" i="109"/>
  <c r="F43" i="109" s="1"/>
  <c r="F42" i="109"/>
  <c r="B42" i="109"/>
  <c r="I41" i="109"/>
  <c r="H41" i="109"/>
  <c r="E41" i="109"/>
  <c r="F41" i="109" s="1"/>
  <c r="I40" i="109"/>
  <c r="H40" i="109"/>
  <c r="F40" i="109"/>
  <c r="E40" i="109"/>
  <c r="I39" i="109"/>
  <c r="H39" i="109"/>
  <c r="E39" i="109"/>
  <c r="F39" i="109" s="1"/>
  <c r="I38" i="109"/>
  <c r="I37" i="109" s="1"/>
  <c r="B38" i="109"/>
  <c r="F38" i="109" s="1"/>
  <c r="F35" i="109"/>
  <c r="F34" i="109"/>
  <c r="B33" i="109"/>
  <c r="E29" i="109"/>
  <c r="F29" i="109" s="1"/>
  <c r="E28" i="109"/>
  <c r="F28" i="109" s="1"/>
  <c r="F27" i="109"/>
  <c r="E27" i="109"/>
  <c r="E24" i="109"/>
  <c r="F24" i="109" s="1"/>
  <c r="E23" i="109"/>
  <c r="F23" i="109" s="1"/>
  <c r="E20" i="109"/>
  <c r="F20" i="109" s="1"/>
  <c r="D19" i="109"/>
  <c r="C19" i="109"/>
  <c r="B19" i="109"/>
  <c r="D18" i="109"/>
  <c r="D17" i="109" s="1"/>
  <c r="E16" i="109"/>
  <c r="F16" i="109" s="1"/>
  <c r="E15" i="109"/>
  <c r="F15" i="109" s="1"/>
  <c r="E14" i="109"/>
  <c r="F14" i="109" s="1"/>
  <c r="I13" i="109"/>
  <c r="H13" i="109"/>
  <c r="E13" i="109"/>
  <c r="F13" i="109" s="1"/>
  <c r="I12" i="109"/>
  <c r="H12" i="109"/>
  <c r="E12" i="109"/>
  <c r="F12" i="109" s="1"/>
  <c r="E11" i="109"/>
  <c r="F11" i="109" s="1"/>
  <c r="E10" i="109"/>
  <c r="F10" i="109" s="1"/>
  <c r="E9" i="109"/>
  <c r="L1" i="109"/>
  <c r="K17" i="81"/>
  <c r="I17" i="81"/>
  <c r="H17" i="81"/>
  <c r="F17" i="81"/>
  <c r="E17" i="81"/>
  <c r="C17" i="81"/>
  <c r="I16" i="81"/>
  <c r="K16" i="81" s="1"/>
  <c r="H16" i="81"/>
  <c r="F16" i="81"/>
  <c r="E16" i="81"/>
  <c r="C16" i="81"/>
  <c r="K15" i="81"/>
  <c r="H15" i="81"/>
  <c r="E15" i="81"/>
  <c r="K14" i="81"/>
  <c r="H14" i="81"/>
  <c r="E14" i="81"/>
  <c r="K13" i="81"/>
  <c r="J13" i="81"/>
  <c r="H13" i="81"/>
  <c r="G13" i="81"/>
  <c r="E13" i="81"/>
  <c r="D13" i="81"/>
  <c r="I12" i="81"/>
  <c r="K12" i="81" s="1"/>
  <c r="F12" i="81"/>
  <c r="H12" i="81" s="1"/>
  <c r="C12" i="81"/>
  <c r="E12" i="81" s="1"/>
  <c r="I11" i="81"/>
  <c r="K11" i="81" s="1"/>
  <c r="F11" i="81"/>
  <c r="H11" i="81" s="1"/>
  <c r="E11" i="81"/>
  <c r="C11" i="81"/>
  <c r="K10" i="81"/>
  <c r="H10" i="81"/>
  <c r="E10" i="81"/>
  <c r="K9" i="81"/>
  <c r="H9" i="81"/>
  <c r="E9" i="81"/>
  <c r="K8" i="81"/>
  <c r="J8" i="81"/>
  <c r="J18" i="81" s="1"/>
  <c r="H8" i="81"/>
  <c r="G8" i="81"/>
  <c r="G18" i="81" s="1"/>
  <c r="E8" i="81"/>
  <c r="D8" i="81"/>
  <c r="D18" i="81" s="1"/>
  <c r="I7" i="81"/>
  <c r="K7" i="81" s="1"/>
  <c r="K18" i="81" s="1"/>
  <c r="F7" i="81"/>
  <c r="F18" i="81" s="1"/>
  <c r="C7" i="81"/>
  <c r="K3" i="81"/>
  <c r="B60" i="41"/>
  <c r="F60" i="41" s="1"/>
  <c r="B59" i="41"/>
  <c r="F59" i="41" s="1"/>
  <c r="E58" i="41"/>
  <c r="B57" i="41"/>
  <c r="F57" i="41" s="1"/>
  <c r="B56" i="41"/>
  <c r="F56" i="41" s="1"/>
  <c r="B55" i="41"/>
  <c r="F55" i="41" s="1"/>
  <c r="B54" i="41"/>
  <c r="F53" i="41"/>
  <c r="B53" i="41"/>
  <c r="E52" i="41"/>
  <c r="F51" i="41"/>
  <c r="F50" i="41"/>
  <c r="B49" i="41"/>
  <c r="F49" i="41" s="1"/>
  <c r="B48" i="41"/>
  <c r="F48" i="41" s="1"/>
  <c r="B47" i="41"/>
  <c r="F47" i="41" s="1"/>
  <c r="E46" i="41"/>
  <c r="F45" i="41"/>
  <c r="E45" i="41"/>
  <c r="D45" i="41"/>
  <c r="M40" i="41"/>
  <c r="K40" i="41"/>
  <c r="F39" i="41"/>
  <c r="I38" i="41"/>
  <c r="H38" i="41"/>
  <c r="F38" i="41"/>
  <c r="L38" i="41" s="1"/>
  <c r="I37" i="41"/>
  <c r="H37" i="41"/>
  <c r="F37" i="41"/>
  <c r="L37" i="41" s="1"/>
  <c r="I36" i="41"/>
  <c r="L36" i="41" s="1"/>
  <c r="H36" i="41"/>
  <c r="F36" i="41"/>
  <c r="M35" i="41"/>
  <c r="K35" i="41"/>
  <c r="J35" i="41"/>
  <c r="H34" i="41"/>
  <c r="K34" i="41" s="1"/>
  <c r="F34" i="41"/>
  <c r="L34" i="41" s="1"/>
  <c r="E34" i="41"/>
  <c r="E31" i="41" s="1"/>
  <c r="F31" i="41" s="1"/>
  <c r="K33" i="41"/>
  <c r="G33" i="41"/>
  <c r="M33" i="41" s="1"/>
  <c r="F33" i="41"/>
  <c r="L33" i="41" s="1"/>
  <c r="M32" i="41"/>
  <c r="D31" i="41"/>
  <c r="E30" i="41"/>
  <c r="F30" i="41" s="1"/>
  <c r="E29" i="41"/>
  <c r="F29" i="41" s="1"/>
  <c r="E28" i="41"/>
  <c r="B28" i="41"/>
  <c r="F28" i="41" s="1"/>
  <c r="I27" i="41"/>
  <c r="E27" i="41"/>
  <c r="E26" i="41"/>
  <c r="C23" i="41"/>
  <c r="E23" i="41" s="1"/>
  <c r="C22" i="41"/>
  <c r="E22" i="41" s="1"/>
  <c r="F21" i="41"/>
  <c r="F20" i="41"/>
  <c r="E19" i="41"/>
  <c r="F19" i="41" s="1"/>
  <c r="D18" i="41"/>
  <c r="B18" i="41"/>
  <c r="B17" i="41" s="1"/>
  <c r="B16" i="41" s="1"/>
  <c r="D17" i="41"/>
  <c r="D16" i="41" s="1"/>
  <c r="E15" i="41"/>
  <c r="F15" i="41" s="1"/>
  <c r="F14" i="41" s="1"/>
  <c r="B15" i="41"/>
  <c r="D14" i="41"/>
  <c r="C14" i="41"/>
  <c r="B14" i="41"/>
  <c r="E13" i="41"/>
  <c r="E12" i="41"/>
  <c r="F12" i="41" s="1"/>
  <c r="E11" i="41"/>
  <c r="D10" i="41"/>
  <c r="C10" i="41"/>
  <c r="B10" i="41"/>
  <c r="E9" i="41"/>
  <c r="B9" i="41"/>
  <c r="D8" i="41"/>
  <c r="D7" i="41" s="1"/>
  <c r="C8" i="41"/>
  <c r="P3" i="41"/>
  <c r="L1" i="41"/>
  <c r="K53" i="108"/>
  <c r="AE52" i="108"/>
  <c r="Y52" i="108"/>
  <c r="AA52" i="108" s="1"/>
  <c r="AC52" i="108" s="1"/>
  <c r="G52" i="108"/>
  <c r="S51" i="108"/>
  <c r="AE51" i="108" s="1"/>
  <c r="G51" i="108"/>
  <c r="F51" i="108"/>
  <c r="S50" i="108"/>
  <c r="R49" i="108"/>
  <c r="Q49" i="108"/>
  <c r="S49" i="108" s="1"/>
  <c r="G49" i="108"/>
  <c r="G48" i="108" s="1"/>
  <c r="F49" i="108"/>
  <c r="F48" i="108" s="1"/>
  <c r="AD48" i="108"/>
  <c r="AD43" i="108" s="1"/>
  <c r="AB48" i="108"/>
  <c r="Z48" i="108"/>
  <c r="X48" i="108"/>
  <c r="X43" i="108" s="1"/>
  <c r="V48" i="108"/>
  <c r="R48" i="108"/>
  <c r="R43" i="108" s="1"/>
  <c r="Q48" i="108"/>
  <c r="Q43" i="108" s="1"/>
  <c r="P48" i="108"/>
  <c r="O48" i="108"/>
  <c r="O43" i="108" s="1"/>
  <c r="E48" i="108"/>
  <c r="Y47" i="108"/>
  <c r="AA47" i="108" s="1"/>
  <c r="AC47" i="108" s="1"/>
  <c r="W47" i="108"/>
  <c r="S47" i="108"/>
  <c r="U47" i="108" s="1"/>
  <c r="AE46" i="108"/>
  <c r="AA46" i="108"/>
  <c r="AC46" i="108" s="1"/>
  <c r="AE45" i="108"/>
  <c r="AE44" i="108" s="1"/>
  <c r="U45" i="108"/>
  <c r="W45" i="108" s="1"/>
  <c r="W44" i="108" s="1"/>
  <c r="Y44" i="108"/>
  <c r="U44" i="108"/>
  <c r="S44" i="108"/>
  <c r="E44" i="108"/>
  <c r="E43" i="108" s="1"/>
  <c r="AB43" i="108"/>
  <c r="Z43" i="108"/>
  <c r="V43" i="108"/>
  <c r="P43" i="108"/>
  <c r="AE42" i="108"/>
  <c r="S42" i="108"/>
  <c r="U42" i="108" s="1"/>
  <c r="W42" i="108" s="1"/>
  <c r="Y42" i="108" s="1"/>
  <c r="AA42" i="108" s="1"/>
  <c r="AC42" i="108" s="1"/>
  <c r="S41" i="108"/>
  <c r="AD40" i="108"/>
  <c r="AB40" i="108"/>
  <c r="Z40" i="108"/>
  <c r="X40" i="108"/>
  <c r="V40" i="108"/>
  <c r="R40" i="108"/>
  <c r="Q40" i="108"/>
  <c r="P40" i="108"/>
  <c r="O40" i="108"/>
  <c r="E40" i="108"/>
  <c r="F40" i="108" s="1"/>
  <c r="F38" i="108"/>
  <c r="F37" i="108"/>
  <c r="F36" i="108"/>
  <c r="F35" i="108"/>
  <c r="F34" i="108"/>
  <c r="F33" i="108"/>
  <c r="E32" i="108"/>
  <c r="AE29" i="108"/>
  <c r="S28" i="108"/>
  <c r="AD27" i="108"/>
  <c r="AB27" i="108"/>
  <c r="AA27" i="108"/>
  <c r="Z27" i="108"/>
  <c r="Y27" i="108"/>
  <c r="X27" i="108"/>
  <c r="V27" i="108"/>
  <c r="R27" i="108"/>
  <c r="Q27" i="108"/>
  <c r="P27" i="108"/>
  <c r="O27" i="108"/>
  <c r="M27" i="108"/>
  <c r="L27" i="108"/>
  <c r="K27" i="108"/>
  <c r="J27" i="108"/>
  <c r="I27" i="108"/>
  <c r="H27" i="108"/>
  <c r="G27" i="108"/>
  <c r="F27" i="108"/>
  <c r="E27" i="108"/>
  <c r="N27" i="108" s="1"/>
  <c r="S26" i="108"/>
  <c r="U25" i="108"/>
  <c r="W25" i="108" s="1"/>
  <c r="Y25" i="108" s="1"/>
  <c r="AA25" i="108" s="1"/>
  <c r="AC25" i="108" s="1"/>
  <c r="S25" i="108"/>
  <c r="AE25" i="108" s="1"/>
  <c r="F25" i="108"/>
  <c r="AE24" i="108"/>
  <c r="AA24" i="108"/>
  <c r="AC24" i="108" s="1"/>
  <c r="U24" i="108"/>
  <c r="F24" i="108"/>
  <c r="S23" i="108"/>
  <c r="AE23" i="108" s="1"/>
  <c r="F23" i="108"/>
  <c r="S22" i="108"/>
  <c r="W22" i="108" s="1"/>
  <c r="Y22" i="108" s="1"/>
  <c r="AC22" i="108" s="1"/>
  <c r="F22" i="108"/>
  <c r="S21" i="108"/>
  <c r="U21" i="108" s="1"/>
  <c r="W21" i="108" s="1"/>
  <c r="Y21" i="108" s="1"/>
  <c r="AA21" i="108" s="1"/>
  <c r="AC21" i="108" s="1"/>
  <c r="F21" i="108"/>
  <c r="AE20" i="108"/>
  <c r="S20" i="108"/>
  <c r="U20" i="108" s="1"/>
  <c r="W20" i="108" s="1"/>
  <c r="Y20" i="108" s="1"/>
  <c r="AC20" i="108" s="1"/>
  <c r="F20" i="108"/>
  <c r="Q19" i="108"/>
  <c r="S19" i="108" s="1"/>
  <c r="F19" i="108"/>
  <c r="Q18" i="108"/>
  <c r="S18" i="108" s="1"/>
  <c r="F18" i="108"/>
  <c r="Q17" i="108"/>
  <c r="F17" i="108"/>
  <c r="AJ16" i="108"/>
  <c r="S16" i="108"/>
  <c r="F16" i="108"/>
  <c r="AB15" i="108"/>
  <c r="AB6" i="108" s="1"/>
  <c r="Z15" i="108"/>
  <c r="X15" i="108"/>
  <c r="V15" i="108"/>
  <c r="V6" i="108" s="1"/>
  <c r="R15" i="108"/>
  <c r="R6" i="108" s="1"/>
  <c r="P15" i="108"/>
  <c r="P6" i="108" s="1"/>
  <c r="O15" i="108"/>
  <c r="N15" i="108"/>
  <c r="L15" i="108"/>
  <c r="K15" i="108"/>
  <c r="I15" i="108"/>
  <c r="I6" i="108" s="1"/>
  <c r="I53" i="108" s="1"/>
  <c r="H15" i="108"/>
  <c r="G15" i="108"/>
  <c r="G6" i="108" s="1"/>
  <c r="G53" i="108" s="1"/>
  <c r="F15" i="108"/>
  <c r="Q14" i="108"/>
  <c r="S14" i="108" s="1"/>
  <c r="E14" i="108"/>
  <c r="T13" i="108"/>
  <c r="AF13" i="108" s="1"/>
  <c r="Q13" i="108"/>
  <c r="S13" i="108" s="1"/>
  <c r="AE13" i="108" s="1"/>
  <c r="E13" i="108"/>
  <c r="AF12" i="108"/>
  <c r="AG12" i="108" s="1"/>
  <c r="AE12" i="108"/>
  <c r="F12" i="108"/>
  <c r="E12" i="108" s="1"/>
  <c r="S11" i="108"/>
  <c r="AE11" i="108" s="1"/>
  <c r="F10" i="108"/>
  <c r="S9" i="108"/>
  <c r="O9" i="108"/>
  <c r="Q9" i="108" s="1"/>
  <c r="F9" i="108"/>
  <c r="E9" i="108"/>
  <c r="AA8" i="108"/>
  <c r="Y8" i="108"/>
  <c r="W8" i="108"/>
  <c r="U8" i="108"/>
  <c r="S8" i="108"/>
  <c r="AE8" i="108" s="1"/>
  <c r="Q8" i="108"/>
  <c r="F8" i="108"/>
  <c r="E8" i="108"/>
  <c r="AC8" i="108" s="1"/>
  <c r="AF7" i="108"/>
  <c r="AE7" i="108"/>
  <c r="AG7" i="108" s="1"/>
  <c r="AC7" i="108"/>
  <c r="E7" i="108"/>
  <c r="AD6" i="108"/>
  <c r="Z6" i="108"/>
  <c r="X6" i="108"/>
  <c r="M6" i="108"/>
  <c r="M53" i="108" s="1"/>
  <c r="L6" i="108"/>
  <c r="L53" i="108" s="1"/>
  <c r="K6" i="108"/>
  <c r="J6" i="108"/>
  <c r="J53" i="108" s="1"/>
  <c r="H6" i="108"/>
  <c r="L4" i="108"/>
  <c r="I4" i="108"/>
  <c r="F4" i="108"/>
  <c r="F53" i="108" s="1"/>
  <c r="E4" i="108"/>
  <c r="S86" i="101"/>
  <c r="R86" i="101"/>
  <c r="Q86" i="101"/>
  <c r="O86" i="101"/>
  <c r="H86" i="101"/>
  <c r="G86" i="101"/>
  <c r="U85" i="101"/>
  <c r="T85" i="101"/>
  <c r="E85" i="101"/>
  <c r="P85" i="101" s="1"/>
  <c r="U84" i="101"/>
  <c r="T84" i="101"/>
  <c r="P84" i="101"/>
  <c r="E84" i="101"/>
  <c r="U83" i="101"/>
  <c r="T83" i="101"/>
  <c r="E83" i="101"/>
  <c r="P83" i="101" s="1"/>
  <c r="U82" i="101"/>
  <c r="T82" i="101"/>
  <c r="P82" i="101"/>
  <c r="U81" i="101"/>
  <c r="T81" i="101"/>
  <c r="E81" i="101"/>
  <c r="P81" i="101" s="1"/>
  <c r="U80" i="101"/>
  <c r="T80" i="101"/>
  <c r="E80" i="101"/>
  <c r="P80" i="101" s="1"/>
  <c r="U79" i="101"/>
  <c r="T79" i="101"/>
  <c r="P79" i="101"/>
  <c r="U78" i="101"/>
  <c r="T78" i="101"/>
  <c r="E78" i="101"/>
  <c r="P78" i="101" s="1"/>
  <c r="U77" i="101"/>
  <c r="T77" i="101"/>
  <c r="P77" i="101"/>
  <c r="U76" i="101"/>
  <c r="T76" i="101"/>
  <c r="E76" i="101"/>
  <c r="V74" i="101"/>
  <c r="H72" i="101"/>
  <c r="H70" i="101"/>
  <c r="H69" i="101"/>
  <c r="H68" i="101"/>
  <c r="BC66" i="101"/>
  <c r="AW63" i="101"/>
  <c r="AT63" i="101"/>
  <c r="AT60" i="101" s="1"/>
  <c r="AR63" i="101"/>
  <c r="AR60" i="101" s="1"/>
  <c r="AK63" i="101"/>
  <c r="AM63" i="101" s="1"/>
  <c r="AJ63" i="101"/>
  <c r="AN63" i="101" s="1"/>
  <c r="AE63" i="101"/>
  <c r="AB63" i="101"/>
  <c r="AB60" i="101" s="1"/>
  <c r="Z63" i="101"/>
  <c r="Z60" i="101" s="1"/>
  <c r="V63" i="101"/>
  <c r="U63" i="101"/>
  <c r="W63" i="101" s="1"/>
  <c r="N63" i="101"/>
  <c r="K63" i="101"/>
  <c r="H63" i="101"/>
  <c r="AU62" i="101"/>
  <c r="AS62" i="101"/>
  <c r="AQ62" i="101"/>
  <c r="AP62" i="101"/>
  <c r="AV62" i="101" s="1"/>
  <c r="AL62" i="101"/>
  <c r="AK62" i="101"/>
  <c r="AM62" i="101" s="1"/>
  <c r="AJ62" i="101"/>
  <c r="AH62" i="101"/>
  <c r="AD62" i="101"/>
  <c r="AC62" i="101"/>
  <c r="AA62" i="101"/>
  <c r="Y62" i="101"/>
  <c r="Y60" i="101" s="1"/>
  <c r="U62" i="101"/>
  <c r="T62" i="101"/>
  <c r="T60" i="101" s="1"/>
  <c r="R62" i="101"/>
  <c r="P62" i="101"/>
  <c r="N62" i="101"/>
  <c r="J62" i="101"/>
  <c r="H62" i="101"/>
  <c r="AV61" i="101"/>
  <c r="AU61" i="101"/>
  <c r="AS61" i="101"/>
  <c r="AQ61" i="101"/>
  <c r="AM61" i="101"/>
  <c r="AL61" i="101"/>
  <c r="AJ61" i="101"/>
  <c r="AH61" i="101"/>
  <c r="AD61" i="101"/>
  <c r="AC61" i="101"/>
  <c r="AA61" i="101"/>
  <c r="U61" i="101"/>
  <c r="R61" i="101"/>
  <c r="P61" i="101"/>
  <c r="N61" i="101"/>
  <c r="K61" i="101"/>
  <c r="H61" i="101"/>
  <c r="H60" i="101" s="1"/>
  <c r="AI60" i="101"/>
  <c r="AG60" i="101"/>
  <c r="X60" i="101"/>
  <c r="U60" i="101"/>
  <c r="S60" i="101"/>
  <c r="Q60" i="101"/>
  <c r="O60" i="101"/>
  <c r="M60" i="101"/>
  <c r="L60" i="101"/>
  <c r="N60" i="101" s="1"/>
  <c r="I60" i="101"/>
  <c r="G60" i="101"/>
  <c r="F60" i="101"/>
  <c r="E60" i="101"/>
  <c r="AV59" i="101"/>
  <c r="AU59" i="101"/>
  <c r="AS59" i="101"/>
  <c r="AQ59" i="101"/>
  <c r="AM59" i="101"/>
  <c r="AL59" i="101"/>
  <c r="AJ59" i="101"/>
  <c r="AH59" i="101"/>
  <c r="AD59" i="101"/>
  <c r="AC59" i="101"/>
  <c r="AA59" i="101"/>
  <c r="Y59" i="101"/>
  <c r="U59" i="101"/>
  <c r="T59" i="101"/>
  <c r="P59" i="101"/>
  <c r="L59" i="101"/>
  <c r="N59" i="101" s="1"/>
  <c r="J59" i="101"/>
  <c r="BA59" i="101" s="1"/>
  <c r="I59" i="101"/>
  <c r="K59" i="101" s="1"/>
  <c r="H59" i="101"/>
  <c r="E59" i="101"/>
  <c r="AU58" i="101"/>
  <c r="AT58" i="101"/>
  <c r="AT57" i="101" s="1"/>
  <c r="AS58" i="101"/>
  <c r="AR58" i="101"/>
  <c r="AR57" i="101" s="1"/>
  <c r="AQ58" i="101"/>
  <c r="AP58" i="101"/>
  <c r="AP57" i="101" s="1"/>
  <c r="AL58" i="101"/>
  <c r="AK58" i="101"/>
  <c r="AK57" i="101" s="1"/>
  <c r="AJ58" i="101"/>
  <c r="AI58" i="101"/>
  <c r="AI57" i="101" s="1"/>
  <c r="AH58" i="101"/>
  <c r="AC58" i="101"/>
  <c r="AB58" i="101"/>
  <c r="AD58" i="101" s="1"/>
  <c r="AA58" i="101"/>
  <c r="Y58" i="101"/>
  <c r="U58" i="101"/>
  <c r="U57" i="101" s="1"/>
  <c r="T58" i="101"/>
  <c r="R58" i="101"/>
  <c r="R57" i="101" s="1"/>
  <c r="P58" i="101"/>
  <c r="K58" i="101"/>
  <c r="G58" i="101"/>
  <c r="G57" i="101" s="1"/>
  <c r="F58" i="101"/>
  <c r="AG57" i="101"/>
  <c r="Z57" i="101"/>
  <c r="X57" i="101"/>
  <c r="S57" i="101"/>
  <c r="Q57" i="101"/>
  <c r="O57" i="101"/>
  <c r="M57" i="101"/>
  <c r="J57" i="101"/>
  <c r="I57" i="101"/>
  <c r="K57" i="101" s="1"/>
  <c r="F57" i="101"/>
  <c r="AV56" i="101"/>
  <c r="AU56" i="101"/>
  <c r="AS56" i="101"/>
  <c r="AQ56" i="101"/>
  <c r="AM56" i="101"/>
  <c r="AL56" i="101"/>
  <c r="AJ56" i="101"/>
  <c r="AH56" i="101"/>
  <c r="AD56" i="101"/>
  <c r="AC56" i="101"/>
  <c r="AA56" i="101"/>
  <c r="Y56" i="101"/>
  <c r="U56" i="101"/>
  <c r="T56" i="101"/>
  <c r="R56" i="101"/>
  <c r="P56" i="101"/>
  <c r="N56" i="101"/>
  <c r="J56" i="101"/>
  <c r="I56" i="101"/>
  <c r="K56" i="101" s="1"/>
  <c r="G56" i="101"/>
  <c r="H56" i="101" s="1"/>
  <c r="E56" i="101"/>
  <c r="AW55" i="101"/>
  <c r="AV55" i="101"/>
  <c r="AX55" i="101" s="1"/>
  <c r="AN55" i="101"/>
  <c r="AM55" i="101"/>
  <c r="AO55" i="101" s="1"/>
  <c r="AE55" i="101"/>
  <c r="AD55" i="101"/>
  <c r="V55" i="101"/>
  <c r="U55" i="101"/>
  <c r="N55" i="101"/>
  <c r="K55" i="101"/>
  <c r="H55" i="101"/>
  <c r="E55" i="101"/>
  <c r="AW54" i="101"/>
  <c r="AP54" i="101"/>
  <c r="AV54" i="101" s="1"/>
  <c r="AM54" i="101"/>
  <c r="AL54" i="101"/>
  <c r="AN54" i="101" s="1"/>
  <c r="AE54" i="101"/>
  <c r="AD54" i="101"/>
  <c r="AF54" i="101" s="1"/>
  <c r="U54" i="101"/>
  <c r="T54" i="101"/>
  <c r="R54" i="101"/>
  <c r="P54" i="101"/>
  <c r="N54" i="101"/>
  <c r="K54" i="101"/>
  <c r="H54" i="101"/>
  <c r="E54" i="101"/>
  <c r="AU53" i="101"/>
  <c r="AU52" i="101" s="1"/>
  <c r="AT53" i="101"/>
  <c r="AT52" i="101" s="1"/>
  <c r="AS53" i="101"/>
  <c r="AS52" i="101" s="1"/>
  <c r="AR53" i="101"/>
  <c r="AR52" i="101" s="1"/>
  <c r="AQ53" i="101"/>
  <c r="AQ52" i="101" s="1"/>
  <c r="AP53" i="101"/>
  <c r="AJ53" i="101"/>
  <c r="AJ52" i="101" s="1"/>
  <c r="AH53" i="101"/>
  <c r="AG53" i="101"/>
  <c r="AM53" i="101" s="1"/>
  <c r="AD53" i="101"/>
  <c r="AD52" i="101" s="1"/>
  <c r="AC53" i="101"/>
  <c r="AC52" i="101" s="1"/>
  <c r="AA53" i="101"/>
  <c r="AA52" i="101" s="1"/>
  <c r="Y53" i="101"/>
  <c r="Y52" i="101" s="1"/>
  <c r="U53" i="101"/>
  <c r="T53" i="101"/>
  <c r="R53" i="101"/>
  <c r="R52" i="101" s="1"/>
  <c r="P53" i="101"/>
  <c r="N53" i="101"/>
  <c r="K53" i="101"/>
  <c r="J53" i="101"/>
  <c r="G53" i="101"/>
  <c r="F53" i="101"/>
  <c r="AK52" i="101"/>
  <c r="AI52" i="101"/>
  <c r="AB52" i="101"/>
  <c r="Z52" i="101"/>
  <c r="X52" i="101"/>
  <c r="S52" i="101"/>
  <c r="Q52" i="101"/>
  <c r="O52" i="101"/>
  <c r="M52" i="101"/>
  <c r="N52" i="101" s="1"/>
  <c r="L52" i="101"/>
  <c r="J52" i="101"/>
  <c r="I52" i="101"/>
  <c r="K52" i="101" s="1"/>
  <c r="G52" i="101"/>
  <c r="F52" i="101"/>
  <c r="E52" i="101"/>
  <c r="E53" i="101" s="1"/>
  <c r="AU51" i="101"/>
  <c r="AS51" i="101"/>
  <c r="AR51" i="101"/>
  <c r="AQ51" i="101"/>
  <c r="AP51" i="101"/>
  <c r="AP49" i="101" s="1"/>
  <c r="AM51" i="101"/>
  <c r="AL51" i="101"/>
  <c r="AJ51" i="101"/>
  <c r="AN51" i="101" s="1"/>
  <c r="AH51" i="101"/>
  <c r="AD51" i="101"/>
  <c r="AC51" i="101"/>
  <c r="AA51" i="101"/>
  <c r="Y51" i="101"/>
  <c r="U51" i="101"/>
  <c r="T51" i="101"/>
  <c r="R51" i="101"/>
  <c r="P51" i="101"/>
  <c r="L51" i="101"/>
  <c r="N51" i="101" s="1"/>
  <c r="K51" i="101"/>
  <c r="H51" i="101"/>
  <c r="AU50" i="101"/>
  <c r="AT50" i="101"/>
  <c r="AT49" i="101" s="1"/>
  <c r="AS50" i="101"/>
  <c r="AR50" i="101"/>
  <c r="AQ50" i="101"/>
  <c r="AL50" i="101"/>
  <c r="AJ50" i="101"/>
  <c r="AH50" i="101"/>
  <c r="AD50" i="101"/>
  <c r="AC50" i="101"/>
  <c r="AA50" i="101"/>
  <c r="Y50" i="101"/>
  <c r="T50" i="101"/>
  <c r="S50" i="101"/>
  <c r="U50" i="101" s="1"/>
  <c r="R50" i="101"/>
  <c r="P50" i="101"/>
  <c r="L50" i="101"/>
  <c r="K50" i="101"/>
  <c r="G50" i="101"/>
  <c r="F50" i="101"/>
  <c r="AW49" i="101"/>
  <c r="AM49" i="101"/>
  <c r="AE49" i="101"/>
  <c r="AD49" i="101"/>
  <c r="AF49" i="101" s="1"/>
  <c r="U49" i="101"/>
  <c r="M49" i="101"/>
  <c r="J49" i="101"/>
  <c r="I49" i="101"/>
  <c r="F49" i="101"/>
  <c r="AU48" i="101"/>
  <c r="AS48" i="101"/>
  <c r="AR48" i="101"/>
  <c r="AQ48" i="101"/>
  <c r="AW48" i="101" s="1"/>
  <c r="AP48" i="101"/>
  <c r="AM48" i="101"/>
  <c r="AL48" i="101"/>
  <c r="AJ48" i="101"/>
  <c r="AH48" i="101"/>
  <c r="AN48" i="101" s="1"/>
  <c r="AD48" i="101"/>
  <c r="AF48" i="101" s="1"/>
  <c r="AC48" i="101"/>
  <c r="AA48" i="101"/>
  <c r="AE48" i="101" s="1"/>
  <c r="Y48" i="101"/>
  <c r="U48" i="101"/>
  <c r="T48" i="101"/>
  <c r="R48" i="101"/>
  <c r="P48" i="101"/>
  <c r="N48" i="101"/>
  <c r="K48" i="101"/>
  <c r="H48" i="101"/>
  <c r="AW47" i="101"/>
  <c r="AV47" i="101"/>
  <c r="AN47" i="101"/>
  <c r="BF47" i="101" s="1"/>
  <c r="AM47" i="101"/>
  <c r="AE47" i="101"/>
  <c r="AD47" i="101"/>
  <c r="AF47" i="101" s="1"/>
  <c r="V47" i="101"/>
  <c r="U47" i="101"/>
  <c r="BA47" i="101" s="1"/>
  <c r="K47" i="101"/>
  <c r="AU46" i="101"/>
  <c r="AT46" i="101"/>
  <c r="AS46" i="101"/>
  <c r="AR46" i="101"/>
  <c r="AQ46" i="101"/>
  <c r="AP46" i="101"/>
  <c r="AL46" i="101"/>
  <c r="AK46" i="101"/>
  <c r="AJ46" i="101"/>
  <c r="AI46" i="101"/>
  <c r="AH46" i="101"/>
  <c r="AG46" i="101"/>
  <c r="AC46" i="101"/>
  <c r="AB46" i="101"/>
  <c r="AA46" i="101"/>
  <c r="Z46" i="101"/>
  <c r="Y46" i="101"/>
  <c r="U46" i="101"/>
  <c r="T46" i="101"/>
  <c r="R46" i="101"/>
  <c r="P46" i="101"/>
  <c r="N46" i="101"/>
  <c r="I46" i="101"/>
  <c r="K46" i="101" s="1"/>
  <c r="H46" i="101"/>
  <c r="E46" i="101"/>
  <c r="BF45" i="101"/>
  <c r="BC45" i="101"/>
  <c r="BE45" i="101" s="1"/>
  <c r="BB45" i="101"/>
  <c r="AD45" i="101"/>
  <c r="BA45" i="101" s="1"/>
  <c r="F45" i="101"/>
  <c r="H45" i="101" s="1"/>
  <c r="AY45" i="101" s="1"/>
  <c r="AZ45" i="101" s="1"/>
  <c r="AV44" i="101"/>
  <c r="AV43" i="101" s="1"/>
  <c r="AU44" i="101"/>
  <c r="AS44" i="101"/>
  <c r="AS43" i="101" s="1"/>
  <c r="AQ44" i="101"/>
  <c r="AQ43" i="101" s="1"/>
  <c r="AM44" i="101"/>
  <c r="AL44" i="101"/>
  <c r="AL43" i="101" s="1"/>
  <c r="AJ44" i="101"/>
  <c r="AJ43" i="101" s="1"/>
  <c r="AH44" i="101"/>
  <c r="AD44" i="101"/>
  <c r="AC44" i="101"/>
  <c r="AC43" i="101" s="1"/>
  <c r="AA44" i="101"/>
  <c r="AA43" i="101" s="1"/>
  <c r="Y44" i="101"/>
  <c r="T44" i="101"/>
  <c r="R44" i="101"/>
  <c r="R43" i="101" s="1"/>
  <c r="P44" i="101"/>
  <c r="P43" i="101" s="1"/>
  <c r="F44" i="101"/>
  <c r="F43" i="101" s="1"/>
  <c r="E44" i="101"/>
  <c r="AT43" i="101"/>
  <c r="AR43" i="101"/>
  <c r="AP43" i="101"/>
  <c r="AM43" i="101"/>
  <c r="AK43" i="101"/>
  <c r="AI43" i="101"/>
  <c r="AG43" i="101"/>
  <c r="AB43" i="101"/>
  <c r="Z43" i="101"/>
  <c r="AD43" i="101" s="1"/>
  <c r="X43" i="101"/>
  <c r="S43" i="101"/>
  <c r="Q43" i="101"/>
  <c r="O43" i="101"/>
  <c r="E43" i="101"/>
  <c r="X42" i="101"/>
  <c r="S42" i="101"/>
  <c r="Q42" i="101"/>
  <c r="O42" i="101"/>
  <c r="AW41" i="101"/>
  <c r="AV41" i="101"/>
  <c r="AX41" i="101" s="1"/>
  <c r="AN41" i="101"/>
  <c r="AZ41" i="101" s="1"/>
  <c r="AM41" i="101"/>
  <c r="AE41" i="101"/>
  <c r="AD41" i="101"/>
  <c r="AF41" i="101" s="1"/>
  <c r="V41" i="101"/>
  <c r="W41" i="101" s="1"/>
  <c r="U41" i="101"/>
  <c r="AW40" i="101"/>
  <c r="AV40" i="101"/>
  <c r="AN40" i="101"/>
  <c r="AZ40" i="101" s="1"/>
  <c r="AM40" i="101"/>
  <c r="AE40" i="101"/>
  <c r="AD40" i="101"/>
  <c r="AF40" i="101" s="1"/>
  <c r="V40" i="101"/>
  <c r="BC40" i="101" s="1"/>
  <c r="U40" i="101"/>
  <c r="BF39" i="101"/>
  <c r="AX39" i="101"/>
  <c r="AW39" i="101"/>
  <c r="AV39" i="101"/>
  <c r="AO39" i="101"/>
  <c r="AN39" i="101"/>
  <c r="AZ39" i="101" s="1"/>
  <c r="AM39" i="101"/>
  <c r="AE39" i="101"/>
  <c r="AD39" i="101"/>
  <c r="AF39" i="101" s="1"/>
  <c r="V39" i="101"/>
  <c r="BC39" i="101" s="1"/>
  <c r="U39" i="101"/>
  <c r="AW38" i="101"/>
  <c r="AV38" i="101"/>
  <c r="AX38" i="101" s="1"/>
  <c r="AN38" i="101"/>
  <c r="AZ38" i="101" s="1"/>
  <c r="AM38" i="101"/>
  <c r="AO38" i="101" s="1"/>
  <c r="AE38" i="101"/>
  <c r="AF38" i="101" s="1"/>
  <c r="AD38" i="101"/>
  <c r="V38" i="101"/>
  <c r="U38" i="101"/>
  <c r="AV37" i="101"/>
  <c r="AU37" i="101"/>
  <c r="AS37" i="101"/>
  <c r="AQ37" i="101"/>
  <c r="AL37" i="101"/>
  <c r="AJ37" i="101"/>
  <c r="AI37" i="101"/>
  <c r="AH37" i="101"/>
  <c r="AC37" i="101"/>
  <c r="AB37" i="101"/>
  <c r="AA37" i="101"/>
  <c r="Z37" i="101"/>
  <c r="Z26" i="101" s="1"/>
  <c r="Y37" i="101"/>
  <c r="U37" i="101"/>
  <c r="T37" i="101"/>
  <c r="R37" i="101"/>
  <c r="P37" i="101"/>
  <c r="F37" i="101"/>
  <c r="E37" i="101"/>
  <c r="AV36" i="101"/>
  <c r="AU36" i="101"/>
  <c r="AS36" i="101"/>
  <c r="AQ36" i="101"/>
  <c r="AL36" i="101"/>
  <c r="AK36" i="101"/>
  <c r="AM36" i="101" s="1"/>
  <c r="AJ36" i="101"/>
  <c r="AH36" i="101"/>
  <c r="AC36" i="101"/>
  <c r="AB36" i="101"/>
  <c r="AD36" i="101" s="1"/>
  <c r="AA36" i="101"/>
  <c r="Y36" i="101"/>
  <c r="U36" i="101"/>
  <c r="T36" i="101"/>
  <c r="R36" i="101"/>
  <c r="F36" i="101"/>
  <c r="H36" i="101" s="1"/>
  <c r="AZ35" i="101"/>
  <c r="AW35" i="101"/>
  <c r="AV35" i="101"/>
  <c r="AX35" i="101" s="1"/>
  <c r="AN35" i="101"/>
  <c r="AM35" i="101"/>
  <c r="AO35" i="101" s="1"/>
  <c r="AE35" i="101"/>
  <c r="AD35" i="101"/>
  <c r="AF35" i="101" s="1"/>
  <c r="V35" i="101"/>
  <c r="BF35" i="101" s="1"/>
  <c r="U35" i="101"/>
  <c r="BA35" i="101" s="1"/>
  <c r="E35" i="101"/>
  <c r="AV34" i="101"/>
  <c r="AU34" i="101"/>
  <c r="AS34" i="101"/>
  <c r="AQ34" i="101"/>
  <c r="AM34" i="101"/>
  <c r="AL34" i="101"/>
  <c r="AJ34" i="101"/>
  <c r="AH34" i="101"/>
  <c r="AD34" i="101"/>
  <c r="AC34" i="101"/>
  <c r="AA34" i="101"/>
  <c r="Y34" i="101"/>
  <c r="U34" i="101"/>
  <c r="BA34" i="101" s="1"/>
  <c r="T34" i="101"/>
  <c r="R34" i="101"/>
  <c r="P34" i="101"/>
  <c r="F34" i="101"/>
  <c r="H34" i="101" s="1"/>
  <c r="AV33" i="101"/>
  <c r="AU33" i="101"/>
  <c r="AS33" i="101"/>
  <c r="AQ33" i="101"/>
  <c r="AM33" i="101"/>
  <c r="AL33" i="101"/>
  <c r="AJ33" i="101"/>
  <c r="AH33" i="101"/>
  <c r="AD33" i="101"/>
  <c r="AA33" i="101"/>
  <c r="Y33" i="101"/>
  <c r="U33" i="101"/>
  <c r="BA33" i="101" s="1"/>
  <c r="T33" i="101"/>
  <c r="R33" i="101"/>
  <c r="P33" i="101"/>
  <c r="F33" i="101"/>
  <c r="H33" i="101" s="1"/>
  <c r="BA32" i="101"/>
  <c r="AZ32" i="101"/>
  <c r="U32" i="101"/>
  <c r="R32" i="101"/>
  <c r="V32" i="101" s="1"/>
  <c r="F32" i="101"/>
  <c r="H32" i="101" s="1"/>
  <c r="AZ31" i="101"/>
  <c r="W31" i="101"/>
  <c r="V31" i="101"/>
  <c r="BB31" i="101" s="1"/>
  <c r="BC31" i="101" s="1"/>
  <c r="U31" i="101"/>
  <c r="BA31" i="101" s="1"/>
  <c r="F31" i="101"/>
  <c r="H31" i="101" s="1"/>
  <c r="AZ30" i="101"/>
  <c r="V30" i="101"/>
  <c r="BB30" i="101" s="1"/>
  <c r="BC30" i="101" s="1"/>
  <c r="U30" i="101"/>
  <c r="F30" i="101"/>
  <c r="H30" i="101" s="1"/>
  <c r="AZ29" i="101"/>
  <c r="U29" i="101"/>
  <c r="BA29" i="101" s="1"/>
  <c r="R29" i="101"/>
  <c r="V29" i="101" s="1"/>
  <c r="BB29" i="101" s="1"/>
  <c r="BC29" i="101" s="1"/>
  <c r="F29" i="101"/>
  <c r="H29" i="101" s="1"/>
  <c r="AZ28" i="101"/>
  <c r="Y28" i="101"/>
  <c r="T28" i="101"/>
  <c r="P28" i="101"/>
  <c r="E28" i="101"/>
  <c r="F28" i="101" s="1"/>
  <c r="H28" i="101" s="1"/>
  <c r="AW27" i="101"/>
  <c r="AX27" i="101" s="1"/>
  <c r="AV27" i="101"/>
  <c r="AN27" i="101"/>
  <c r="AZ27" i="101" s="1"/>
  <c r="AM27" i="101"/>
  <c r="AO27" i="101" s="1"/>
  <c r="AE27" i="101"/>
  <c r="AD27" i="101"/>
  <c r="AF27" i="101" s="1"/>
  <c r="V27" i="101"/>
  <c r="U27" i="101"/>
  <c r="E27" i="101"/>
  <c r="AV26" i="101"/>
  <c r="AT26" i="101"/>
  <c r="AR26" i="101"/>
  <c r="AP26" i="101"/>
  <c r="AG26" i="101"/>
  <c r="X26" i="101"/>
  <c r="S26" i="101"/>
  <c r="Q26" i="101"/>
  <c r="O26" i="101"/>
  <c r="E26" i="101"/>
  <c r="BI25" i="101"/>
  <c r="AU25" i="101"/>
  <c r="AT25" i="101"/>
  <c r="AS25" i="101"/>
  <c r="AR25" i="101"/>
  <c r="AQ25" i="101"/>
  <c r="AP25" i="101"/>
  <c r="AM25" i="101"/>
  <c r="I25" i="101" s="1"/>
  <c r="K25" i="101" s="1"/>
  <c r="AL25" i="101"/>
  <c r="AJ25" i="101"/>
  <c r="AH25" i="101"/>
  <c r="AD25" i="101"/>
  <c r="AC25" i="101"/>
  <c r="AA25" i="101"/>
  <c r="Y25" i="101"/>
  <c r="U25" i="101"/>
  <c r="T25" i="101"/>
  <c r="R25" i="101"/>
  <c r="P25" i="101"/>
  <c r="BI24" i="101"/>
  <c r="AU24" i="101"/>
  <c r="AS24" i="101"/>
  <c r="AR24" i="101"/>
  <c r="AQ24" i="101"/>
  <c r="AM24" i="101"/>
  <c r="I24" i="101" s="1"/>
  <c r="K24" i="101" s="1"/>
  <c r="AL24" i="101"/>
  <c r="AJ24" i="101"/>
  <c r="AH24" i="101"/>
  <c r="AD24" i="101"/>
  <c r="AC24" i="101"/>
  <c r="AA24" i="101"/>
  <c r="Y24" i="101"/>
  <c r="U24" i="101"/>
  <c r="F24" i="101" s="1"/>
  <c r="T24" i="101"/>
  <c r="R24" i="101"/>
  <c r="P24" i="101"/>
  <c r="BI23" i="101"/>
  <c r="AU23" i="101"/>
  <c r="AS23" i="101"/>
  <c r="AR23" i="101"/>
  <c r="AV23" i="101" s="1"/>
  <c r="L23" i="101" s="1"/>
  <c r="N23" i="101" s="1"/>
  <c r="AQ23" i="101"/>
  <c r="AM23" i="101"/>
  <c r="AL23" i="101"/>
  <c r="AJ23" i="101"/>
  <c r="AH23" i="101"/>
  <c r="AD23" i="101"/>
  <c r="AC23" i="101"/>
  <c r="AA23" i="101"/>
  <c r="Y23" i="101"/>
  <c r="U23" i="101"/>
  <c r="T23" i="101"/>
  <c r="R23" i="101"/>
  <c r="P23" i="101"/>
  <c r="I23" i="101"/>
  <c r="K23" i="101" s="1"/>
  <c r="F23" i="101"/>
  <c r="BI22" i="101"/>
  <c r="AU22" i="101"/>
  <c r="AS22" i="101"/>
  <c r="AR22" i="101"/>
  <c r="AQ22" i="101"/>
  <c r="AP22" i="101"/>
  <c r="AP15" i="101" s="1"/>
  <c r="AM22" i="101"/>
  <c r="I22" i="101" s="1"/>
  <c r="K22" i="101" s="1"/>
  <c r="AL22" i="101"/>
  <c r="AJ22" i="101"/>
  <c r="AH22" i="101"/>
  <c r="AD22" i="101"/>
  <c r="AD15" i="101" s="1"/>
  <c r="AC22" i="101"/>
  <c r="AA22" i="101"/>
  <c r="Y22" i="101"/>
  <c r="U22" i="101"/>
  <c r="T22" i="101"/>
  <c r="R22" i="101"/>
  <c r="P22" i="101"/>
  <c r="BI21" i="101"/>
  <c r="AU21" i="101"/>
  <c r="AT21" i="101"/>
  <c r="AS21" i="101"/>
  <c r="AR21" i="101"/>
  <c r="AV21" i="101" s="1"/>
  <c r="L21" i="101" s="1"/>
  <c r="AQ21" i="101"/>
  <c r="AM21" i="101"/>
  <c r="AL21" i="101"/>
  <c r="AJ21" i="101"/>
  <c r="AH21" i="101"/>
  <c r="AD21" i="101"/>
  <c r="AC21" i="101"/>
  <c r="AA21" i="101"/>
  <c r="Y21" i="101"/>
  <c r="U21" i="101"/>
  <c r="T21" i="101"/>
  <c r="R21" i="101"/>
  <c r="P21" i="101"/>
  <c r="I21" i="101"/>
  <c r="K21" i="101" s="1"/>
  <c r="F21" i="101"/>
  <c r="H21" i="101" s="1"/>
  <c r="BI20" i="101"/>
  <c r="AU20" i="101"/>
  <c r="AS20" i="101"/>
  <c r="AR20" i="101"/>
  <c r="BH20" i="101" s="1"/>
  <c r="AQ20" i="101"/>
  <c r="AM20" i="101"/>
  <c r="AL20" i="101"/>
  <c r="AJ20" i="101"/>
  <c r="AH20" i="101"/>
  <c r="AD20" i="101"/>
  <c r="AC20" i="101"/>
  <c r="AA20" i="101"/>
  <c r="Y20" i="101"/>
  <c r="U20" i="101"/>
  <c r="T20" i="101"/>
  <c r="R20" i="101"/>
  <c r="P20" i="101"/>
  <c r="BI19" i="101"/>
  <c r="BH19" i="101"/>
  <c r="BJ19" i="101" s="1"/>
  <c r="AV19" i="101"/>
  <c r="L19" i="101" s="1"/>
  <c r="AU19" i="101"/>
  <c r="AS19" i="101"/>
  <c r="AQ19" i="101"/>
  <c r="AM19" i="101"/>
  <c r="I19" i="101" s="1"/>
  <c r="K19" i="101" s="1"/>
  <c r="AL19" i="101"/>
  <c r="AJ19" i="101"/>
  <c r="AH19" i="101"/>
  <c r="AD19" i="101"/>
  <c r="AC19" i="101"/>
  <c r="AA19" i="101"/>
  <c r="Y19" i="101"/>
  <c r="U19" i="101"/>
  <c r="BA19" i="101" s="1"/>
  <c r="T19" i="101"/>
  <c r="R19" i="101"/>
  <c r="P19" i="101"/>
  <c r="N19" i="101"/>
  <c r="BI18" i="101"/>
  <c r="BH18" i="101"/>
  <c r="AV18" i="101"/>
  <c r="L18" i="101" s="1"/>
  <c r="N18" i="101" s="1"/>
  <c r="AU18" i="101"/>
  <c r="AS18" i="101"/>
  <c r="AQ18" i="101"/>
  <c r="AW18" i="101" s="1"/>
  <c r="AM18" i="101"/>
  <c r="AL18" i="101"/>
  <c r="AH18" i="101"/>
  <c r="AN18" i="101" s="1"/>
  <c r="AO18" i="101" s="1"/>
  <c r="AD18" i="101"/>
  <c r="AC18" i="101"/>
  <c r="AA18" i="101"/>
  <c r="Y18" i="101"/>
  <c r="U18" i="101"/>
  <c r="T18" i="101"/>
  <c r="R18" i="101"/>
  <c r="P18" i="101"/>
  <c r="V18" i="101" s="1"/>
  <c r="I18" i="101"/>
  <c r="K18" i="101" s="1"/>
  <c r="F18" i="101"/>
  <c r="H18" i="101" s="1"/>
  <c r="BI17" i="101"/>
  <c r="AU17" i="101"/>
  <c r="AT17" i="101"/>
  <c r="BH17" i="101" s="1"/>
  <c r="AS17" i="101"/>
  <c r="AQ17" i="101"/>
  <c r="AW17" i="101" s="1"/>
  <c r="AM17" i="101"/>
  <c r="AL17" i="101"/>
  <c r="AJ17" i="101"/>
  <c r="AH17" i="101"/>
  <c r="AD17" i="101"/>
  <c r="AC17" i="101"/>
  <c r="AA17" i="101"/>
  <c r="Y17" i="101"/>
  <c r="U17" i="101"/>
  <c r="T17" i="101"/>
  <c r="R17" i="101"/>
  <c r="P17" i="101"/>
  <c r="I17" i="101"/>
  <c r="BI16" i="101"/>
  <c r="AV16" i="101"/>
  <c r="L16" i="101" s="1"/>
  <c r="N16" i="101" s="1"/>
  <c r="AU16" i="101"/>
  <c r="AU15" i="101" s="1"/>
  <c r="AT16" i="101"/>
  <c r="BH16" i="101" s="1"/>
  <c r="AS16" i="101"/>
  <c r="AS15" i="101" s="1"/>
  <c r="AR16" i="101"/>
  <c r="AQ16" i="101"/>
  <c r="AQ15" i="101" s="1"/>
  <c r="AM16" i="101"/>
  <c r="AL16" i="101"/>
  <c r="AJ16" i="101"/>
  <c r="AJ15" i="101" s="1"/>
  <c r="AH16" i="101"/>
  <c r="AH15" i="101" s="1"/>
  <c r="AD16" i="101"/>
  <c r="AC16" i="101"/>
  <c r="AA16" i="101"/>
  <c r="AA15" i="101" s="1"/>
  <c r="Y16" i="101"/>
  <c r="U16" i="101"/>
  <c r="T16" i="101"/>
  <c r="R16" i="101"/>
  <c r="R15" i="101" s="1"/>
  <c r="P16" i="101"/>
  <c r="I16" i="101"/>
  <c r="K16" i="101" s="1"/>
  <c r="F16" i="101"/>
  <c r="E16" i="101" s="1"/>
  <c r="AK15" i="101"/>
  <c r="AI15" i="101"/>
  <c r="AG15" i="101"/>
  <c r="AB15" i="101"/>
  <c r="Z15" i="101"/>
  <c r="X15" i="101"/>
  <c r="X6" i="101" s="1"/>
  <c r="X64" i="101" s="1"/>
  <c r="S15" i="101"/>
  <c r="Q15" i="101"/>
  <c r="O15" i="101"/>
  <c r="G15" i="101"/>
  <c r="BA14" i="101"/>
  <c r="AV14" i="101"/>
  <c r="AU14" i="101"/>
  <c r="AS14" i="101"/>
  <c r="AQ14" i="101"/>
  <c r="AM14" i="101"/>
  <c r="AL14" i="101"/>
  <c r="AJ14" i="101"/>
  <c r="AH14" i="101"/>
  <c r="AD14" i="101"/>
  <c r="AC14" i="101"/>
  <c r="AA14" i="101"/>
  <c r="Y14" i="101"/>
  <c r="U14" i="101"/>
  <c r="T14" i="101"/>
  <c r="R14" i="101"/>
  <c r="P14" i="101"/>
  <c r="L14" i="101"/>
  <c r="N14" i="101" s="1"/>
  <c r="I14" i="101"/>
  <c r="K14" i="101" s="1"/>
  <c r="F14" i="101"/>
  <c r="H14" i="101" s="1"/>
  <c r="AV13" i="101"/>
  <c r="AU13" i="101"/>
  <c r="AS13" i="101"/>
  <c r="AQ13" i="101"/>
  <c r="AM13" i="101"/>
  <c r="AL13" i="101"/>
  <c r="AJ13" i="101"/>
  <c r="AH13" i="101"/>
  <c r="AD13" i="101"/>
  <c r="AC13" i="101"/>
  <c r="AA13" i="101"/>
  <c r="Y13" i="101"/>
  <c r="U13" i="101"/>
  <c r="BA13" i="101" s="1"/>
  <c r="T13" i="101"/>
  <c r="R13" i="101"/>
  <c r="P13" i="101"/>
  <c r="L13" i="101"/>
  <c r="N13" i="101" s="1"/>
  <c r="I13" i="101"/>
  <c r="K13" i="101" s="1"/>
  <c r="F13" i="101"/>
  <c r="H13" i="101" s="1"/>
  <c r="AV12" i="101"/>
  <c r="AU12" i="101"/>
  <c r="AS12" i="101"/>
  <c r="AQ12" i="101"/>
  <c r="AM12" i="101"/>
  <c r="AL12" i="101"/>
  <c r="AJ12" i="101"/>
  <c r="AH12" i="101"/>
  <c r="AD12" i="101"/>
  <c r="F12" i="101" s="1"/>
  <c r="H12" i="101" s="1"/>
  <c r="AC12" i="101"/>
  <c r="AA12" i="101"/>
  <c r="Y12" i="101"/>
  <c r="U12" i="101"/>
  <c r="BA12" i="101" s="1"/>
  <c r="T12" i="101"/>
  <c r="R12" i="101"/>
  <c r="P12" i="101"/>
  <c r="L12" i="101"/>
  <c r="N12" i="101" s="1"/>
  <c r="I12" i="101"/>
  <c r="AV11" i="101"/>
  <c r="AU11" i="101"/>
  <c r="AS11" i="101"/>
  <c r="AQ11" i="101"/>
  <c r="AM11" i="101"/>
  <c r="AL11" i="101"/>
  <c r="AJ11" i="101"/>
  <c r="AH11" i="101"/>
  <c r="AD11" i="101"/>
  <c r="AC11" i="101"/>
  <c r="AA11" i="101"/>
  <c r="Y11" i="101"/>
  <c r="U11" i="101"/>
  <c r="BA11" i="101" s="1"/>
  <c r="T11" i="101"/>
  <c r="R11" i="101"/>
  <c r="P11" i="101"/>
  <c r="L11" i="101"/>
  <c r="N11" i="101" s="1"/>
  <c r="I11" i="101"/>
  <c r="K11" i="101" s="1"/>
  <c r="F11" i="101"/>
  <c r="H11" i="101" s="1"/>
  <c r="AU10" i="101"/>
  <c r="AT10" i="101"/>
  <c r="AS10" i="101"/>
  <c r="AR10" i="101"/>
  <c r="AQ10" i="101"/>
  <c r="AP10" i="101"/>
  <c r="AV10" i="101" s="1"/>
  <c r="L10" i="101" s="1"/>
  <c r="N10" i="101" s="1"/>
  <c r="AL10" i="101"/>
  <c r="AK10" i="101"/>
  <c r="AJ10" i="101"/>
  <c r="AI10" i="101"/>
  <c r="AH10" i="101"/>
  <c r="AG10" i="101"/>
  <c r="AM10" i="101" s="1"/>
  <c r="I10" i="101" s="1"/>
  <c r="K10" i="101" s="1"/>
  <c r="AC10" i="101"/>
  <c r="AB10" i="101"/>
  <c r="AD10" i="101" s="1"/>
  <c r="AA10" i="101"/>
  <c r="Y10" i="101"/>
  <c r="U10" i="101"/>
  <c r="T10" i="101"/>
  <c r="R10" i="101"/>
  <c r="P10" i="101"/>
  <c r="AU9" i="101"/>
  <c r="AT9" i="101"/>
  <c r="AS9" i="101"/>
  <c r="AR9" i="101"/>
  <c r="AQ9" i="101"/>
  <c r="AP9" i="101"/>
  <c r="AV9" i="101" s="1"/>
  <c r="L9" i="101" s="1"/>
  <c r="N9" i="101" s="1"/>
  <c r="AL9" i="101"/>
  <c r="AK9" i="101"/>
  <c r="AJ9" i="101"/>
  <c r="AI9" i="101"/>
  <c r="AI6" i="101" s="1"/>
  <c r="AH9" i="101"/>
  <c r="AG9" i="101"/>
  <c r="AC9" i="101"/>
  <c r="AB9" i="101"/>
  <c r="AD9" i="101" s="1"/>
  <c r="AA9" i="101"/>
  <c r="Y9" i="101"/>
  <c r="U9" i="101"/>
  <c r="T9" i="101"/>
  <c r="R9" i="101"/>
  <c r="P9" i="101"/>
  <c r="AV8" i="101"/>
  <c r="AX8" i="101" s="1"/>
  <c r="AU8" i="101"/>
  <c r="AT8" i="101"/>
  <c r="AS8" i="101"/>
  <c r="AQ8" i="101"/>
  <c r="AM8" i="101"/>
  <c r="AL8" i="101"/>
  <c r="AJ8" i="101"/>
  <c r="AH8" i="101"/>
  <c r="AD8" i="101"/>
  <c r="AC8" i="101"/>
  <c r="AA8" i="101"/>
  <c r="Y8" i="101"/>
  <c r="U8" i="101"/>
  <c r="T8" i="101"/>
  <c r="R8" i="101"/>
  <c r="P8" i="101"/>
  <c r="I8" i="101"/>
  <c r="K8" i="101" s="1"/>
  <c r="F8" i="101"/>
  <c r="H8" i="101" s="1"/>
  <c r="AW7" i="101"/>
  <c r="AV7" i="101"/>
  <c r="AX7" i="101" s="1"/>
  <c r="AN7" i="101"/>
  <c r="AM7" i="101"/>
  <c r="AO7" i="101" s="1"/>
  <c r="AE7" i="101"/>
  <c r="AD7" i="101"/>
  <c r="V7" i="101"/>
  <c r="N7" i="101"/>
  <c r="K7" i="101"/>
  <c r="E7" i="101"/>
  <c r="AK6" i="101"/>
  <c r="AG6" i="101"/>
  <c r="AB6" i="101"/>
  <c r="Z6" i="101"/>
  <c r="S6" i="101"/>
  <c r="S64" i="101" s="1"/>
  <c r="Q6" i="101"/>
  <c r="Q64" i="101" s="1"/>
  <c r="O6" i="101"/>
  <c r="O64" i="101" s="1"/>
  <c r="M6" i="101"/>
  <c r="M2" i="101" s="1"/>
  <c r="J6" i="101"/>
  <c r="J64" i="101" s="1"/>
  <c r="G6" i="101"/>
  <c r="G2" i="101" s="1"/>
  <c r="AC2" i="101"/>
  <c r="AA2" i="101"/>
  <c r="V2" i="101"/>
  <c r="T2" i="101"/>
  <c r="I2" i="101"/>
  <c r="I5" i="101" s="1"/>
  <c r="F2" i="101"/>
  <c r="F5" i="101" s="1"/>
  <c r="BC1" i="101"/>
  <c r="S86" i="99"/>
  <c r="R86" i="99"/>
  <c r="Q86" i="99"/>
  <c r="O86" i="99"/>
  <c r="H86" i="99"/>
  <c r="G86" i="99"/>
  <c r="U85" i="99"/>
  <c r="T85" i="99"/>
  <c r="P85" i="99"/>
  <c r="E85" i="99"/>
  <c r="U84" i="99"/>
  <c r="T84" i="99"/>
  <c r="E84" i="99"/>
  <c r="P84" i="99" s="1"/>
  <c r="U83" i="99"/>
  <c r="T83" i="99"/>
  <c r="P83" i="99"/>
  <c r="E83" i="99"/>
  <c r="U82" i="99"/>
  <c r="T82" i="99"/>
  <c r="P82" i="99"/>
  <c r="U81" i="99"/>
  <c r="T81" i="99"/>
  <c r="E81" i="99"/>
  <c r="P81" i="99" s="1"/>
  <c r="U80" i="99"/>
  <c r="T80" i="99"/>
  <c r="E80" i="99"/>
  <c r="P80" i="99" s="1"/>
  <c r="U79" i="99"/>
  <c r="T79" i="99"/>
  <c r="P79" i="99"/>
  <c r="U78" i="99"/>
  <c r="T78" i="99"/>
  <c r="P78" i="99"/>
  <c r="E78" i="99"/>
  <c r="U77" i="99"/>
  <c r="T77" i="99"/>
  <c r="P77" i="99"/>
  <c r="U76" i="99"/>
  <c r="T76" i="99"/>
  <c r="T86" i="99" s="1"/>
  <c r="E76" i="99"/>
  <c r="P76" i="99" s="1"/>
  <c r="V74" i="99"/>
  <c r="H72" i="99"/>
  <c r="H70" i="99"/>
  <c r="H69" i="99"/>
  <c r="H68" i="99"/>
  <c r="BC66" i="99"/>
  <c r="AW63" i="99"/>
  <c r="AT63" i="99"/>
  <c r="AR63" i="99"/>
  <c r="AK63" i="99"/>
  <c r="AM63" i="99" s="1"/>
  <c r="AJ63" i="99"/>
  <c r="AN63" i="99" s="1"/>
  <c r="AE63" i="99"/>
  <c r="AB63" i="99"/>
  <c r="Z63" i="99"/>
  <c r="AD63" i="99" s="1"/>
  <c r="AF63" i="99" s="1"/>
  <c r="W63" i="99"/>
  <c r="V63" i="99"/>
  <c r="U63" i="99"/>
  <c r="N63" i="99"/>
  <c r="K63" i="99"/>
  <c r="H63" i="99"/>
  <c r="AY63" i="99" s="1"/>
  <c r="AU62" i="99"/>
  <c r="AS62" i="99"/>
  <c r="AQ62" i="99"/>
  <c r="AP62" i="99"/>
  <c r="AV62" i="99" s="1"/>
  <c r="AL62" i="99"/>
  <c r="AK62" i="99"/>
  <c r="AM62" i="99" s="1"/>
  <c r="AJ62" i="99"/>
  <c r="AH62" i="99"/>
  <c r="AD62" i="99"/>
  <c r="AC62" i="99"/>
  <c r="AA62" i="99"/>
  <c r="Y62" i="99"/>
  <c r="Y60" i="99" s="1"/>
  <c r="U62" i="99"/>
  <c r="T62" i="99"/>
  <c r="T60" i="99" s="1"/>
  <c r="R62" i="99"/>
  <c r="P62" i="99"/>
  <c r="N62" i="99"/>
  <c r="J62" i="99"/>
  <c r="H62" i="99"/>
  <c r="AV61" i="99"/>
  <c r="AU61" i="99"/>
  <c r="AS61" i="99"/>
  <c r="AQ61" i="99"/>
  <c r="AM61" i="99"/>
  <c r="AL61" i="99"/>
  <c r="AJ61" i="99"/>
  <c r="AH61" i="99"/>
  <c r="AD61" i="99"/>
  <c r="AC61" i="99"/>
  <c r="AA61" i="99"/>
  <c r="U61" i="99"/>
  <c r="BA61" i="99" s="1"/>
  <c r="R61" i="99"/>
  <c r="P61" i="99"/>
  <c r="N61" i="99"/>
  <c r="K61" i="99"/>
  <c r="H61" i="99"/>
  <c r="AR60" i="99"/>
  <c r="AI60" i="99"/>
  <c r="AG60" i="99"/>
  <c r="AB60" i="99"/>
  <c r="X60" i="99"/>
  <c r="U60" i="99"/>
  <c r="S60" i="99"/>
  <c r="S42" i="99" s="1"/>
  <c r="Q60" i="99"/>
  <c r="O60" i="99"/>
  <c r="M60" i="99"/>
  <c r="L60" i="99"/>
  <c r="I60" i="99"/>
  <c r="G60" i="99"/>
  <c r="F60" i="99"/>
  <c r="E60" i="99"/>
  <c r="AV59" i="99"/>
  <c r="AU59" i="99"/>
  <c r="AS59" i="99"/>
  <c r="AQ59" i="99"/>
  <c r="AM59" i="99"/>
  <c r="AL59" i="99"/>
  <c r="AJ59" i="99"/>
  <c r="AH59" i="99"/>
  <c r="AD59" i="99"/>
  <c r="AC59" i="99"/>
  <c r="AA59" i="99"/>
  <c r="Y59" i="99"/>
  <c r="U59" i="99"/>
  <c r="T59" i="99"/>
  <c r="P59" i="99"/>
  <c r="L59" i="99"/>
  <c r="N59" i="99" s="1"/>
  <c r="J59" i="99"/>
  <c r="BA59" i="99" s="1"/>
  <c r="I59" i="99"/>
  <c r="H59" i="99"/>
  <c r="AU58" i="99"/>
  <c r="AT58" i="99"/>
  <c r="AT57" i="99" s="1"/>
  <c r="AS58" i="99"/>
  <c r="AR58" i="99"/>
  <c r="AR57" i="99" s="1"/>
  <c r="AQ58" i="99"/>
  <c r="AP58" i="99"/>
  <c r="AL58" i="99"/>
  <c r="AK58" i="99"/>
  <c r="AK57" i="99" s="1"/>
  <c r="AJ58" i="99"/>
  <c r="AI58" i="99"/>
  <c r="AI57" i="99" s="1"/>
  <c r="AH58" i="99"/>
  <c r="AC58" i="99"/>
  <c r="AB58" i="99"/>
  <c r="AD58" i="99" s="1"/>
  <c r="AA58" i="99"/>
  <c r="Y58" i="99"/>
  <c r="U58" i="99"/>
  <c r="U57" i="99" s="1"/>
  <c r="T58" i="99"/>
  <c r="R58" i="99"/>
  <c r="R57" i="99" s="1"/>
  <c r="P58" i="99"/>
  <c r="K58" i="99"/>
  <c r="G58" i="99"/>
  <c r="G57" i="99" s="1"/>
  <c r="F58" i="99"/>
  <c r="AG57" i="99"/>
  <c r="Z57" i="99"/>
  <c r="X57" i="99"/>
  <c r="S57" i="99"/>
  <c r="Q57" i="99"/>
  <c r="O57" i="99"/>
  <c r="M57" i="99"/>
  <c r="J57" i="99"/>
  <c r="F57" i="99"/>
  <c r="AV56" i="99"/>
  <c r="AU56" i="99"/>
  <c r="AS56" i="99"/>
  <c r="AQ56" i="99"/>
  <c r="AM56" i="99"/>
  <c r="AL56" i="99"/>
  <c r="AJ56" i="99"/>
  <c r="AH56" i="99"/>
  <c r="AD56" i="99"/>
  <c r="AC56" i="99"/>
  <c r="AA56" i="99"/>
  <c r="Y56" i="99"/>
  <c r="U56" i="99"/>
  <c r="T56" i="99"/>
  <c r="R56" i="99"/>
  <c r="P56" i="99"/>
  <c r="N56" i="99"/>
  <c r="J56" i="99"/>
  <c r="I56" i="99"/>
  <c r="K56" i="99" s="1"/>
  <c r="H56" i="99"/>
  <c r="G56" i="99"/>
  <c r="E56" i="99"/>
  <c r="BA56" i="99" s="1"/>
  <c r="AW55" i="99"/>
  <c r="AV55" i="99"/>
  <c r="AX55" i="99" s="1"/>
  <c r="AN55" i="99"/>
  <c r="AM55" i="99"/>
  <c r="AO55" i="99" s="1"/>
  <c r="AE55" i="99"/>
  <c r="AD55" i="99"/>
  <c r="AF55" i="99" s="1"/>
  <c r="V55" i="99"/>
  <c r="BB55" i="99" s="1"/>
  <c r="BC55" i="99" s="1"/>
  <c r="U55" i="99"/>
  <c r="N55" i="99"/>
  <c r="K55" i="99"/>
  <c r="H55" i="99"/>
  <c r="AY55" i="99" s="1"/>
  <c r="E55" i="99"/>
  <c r="AW54" i="99"/>
  <c r="AP54" i="99"/>
  <c r="AM54" i="99"/>
  <c r="AL54" i="99"/>
  <c r="AL53" i="99" s="1"/>
  <c r="AL52" i="99" s="1"/>
  <c r="AE54" i="99"/>
  <c r="AD54" i="99"/>
  <c r="U54" i="99"/>
  <c r="T54" i="99"/>
  <c r="R54" i="99"/>
  <c r="P54" i="99"/>
  <c r="V54" i="99" s="1"/>
  <c r="N54" i="99"/>
  <c r="K54" i="99"/>
  <c r="H54" i="99"/>
  <c r="E54" i="99"/>
  <c r="AU53" i="99"/>
  <c r="AU52" i="99" s="1"/>
  <c r="AT53" i="99"/>
  <c r="AT52" i="99" s="1"/>
  <c r="AS53" i="99"/>
  <c r="AS52" i="99" s="1"/>
  <c r="AR53" i="99"/>
  <c r="AR52" i="99" s="1"/>
  <c r="AQ53" i="99"/>
  <c r="AQ52" i="99" s="1"/>
  <c r="AP53" i="99"/>
  <c r="AJ53" i="99"/>
  <c r="AJ52" i="99" s="1"/>
  <c r="AH53" i="99"/>
  <c r="AG53" i="99"/>
  <c r="AD53" i="99"/>
  <c r="AC53" i="99"/>
  <c r="AC52" i="99" s="1"/>
  <c r="AA53" i="99"/>
  <c r="AA52" i="99" s="1"/>
  <c r="Y53" i="99"/>
  <c r="Y52" i="99" s="1"/>
  <c r="U53" i="99"/>
  <c r="T53" i="99"/>
  <c r="T52" i="99" s="1"/>
  <c r="R53" i="99"/>
  <c r="R52" i="99" s="1"/>
  <c r="P53" i="99"/>
  <c r="N53" i="99"/>
  <c r="J53" i="99"/>
  <c r="K53" i="99" s="1"/>
  <c r="G53" i="99"/>
  <c r="G52" i="99" s="1"/>
  <c r="F53" i="99"/>
  <c r="AK52" i="99"/>
  <c r="AI52" i="99"/>
  <c r="AB52" i="99"/>
  <c r="Z52" i="99"/>
  <c r="X52" i="99"/>
  <c r="S52" i="99"/>
  <c r="Q52" i="99"/>
  <c r="O52" i="99"/>
  <c r="M52" i="99"/>
  <c r="N52" i="99" s="1"/>
  <c r="L52" i="99"/>
  <c r="I52" i="99"/>
  <c r="F52" i="99"/>
  <c r="E52" i="99"/>
  <c r="E53" i="99" s="1"/>
  <c r="AU51" i="99"/>
  <c r="AS51" i="99"/>
  <c r="AR51" i="99"/>
  <c r="AQ51" i="99"/>
  <c r="AW51" i="99" s="1"/>
  <c r="AP51" i="99"/>
  <c r="AM51" i="99"/>
  <c r="AL51" i="99"/>
  <c r="AJ51" i="99"/>
  <c r="AH51" i="99"/>
  <c r="AN51" i="99" s="1"/>
  <c r="AO51" i="99" s="1"/>
  <c r="AD51" i="99"/>
  <c r="AC51" i="99"/>
  <c r="AE51" i="99" s="1"/>
  <c r="AF51" i="99" s="1"/>
  <c r="AA51" i="99"/>
  <c r="Y51" i="99"/>
  <c r="U51" i="99"/>
  <c r="T51" i="99"/>
  <c r="R51" i="99"/>
  <c r="P51" i="99"/>
  <c r="L51" i="99"/>
  <c r="N51" i="99" s="1"/>
  <c r="K51" i="99"/>
  <c r="H51" i="99"/>
  <c r="AU50" i="99"/>
  <c r="AT50" i="99"/>
  <c r="AT49" i="99" s="1"/>
  <c r="AS50" i="99"/>
  <c r="AR50" i="99"/>
  <c r="AQ50" i="99"/>
  <c r="AL50" i="99"/>
  <c r="AJ50" i="99"/>
  <c r="AH50" i="99"/>
  <c r="AN50" i="99" s="1"/>
  <c r="AD50" i="99"/>
  <c r="AC50" i="99"/>
  <c r="AA50" i="99"/>
  <c r="Y50" i="99"/>
  <c r="T50" i="99"/>
  <c r="S50" i="99"/>
  <c r="U50" i="99" s="1"/>
  <c r="R50" i="99"/>
  <c r="P50" i="99"/>
  <c r="V50" i="99" s="1"/>
  <c r="V49" i="99" s="1"/>
  <c r="N50" i="99"/>
  <c r="L50" i="99"/>
  <c r="K50" i="99"/>
  <c r="G50" i="99"/>
  <c r="F50" i="99"/>
  <c r="H50" i="99" s="1"/>
  <c r="AW49" i="99"/>
  <c r="AM49" i="99"/>
  <c r="AE49" i="99"/>
  <c r="AD49" i="99"/>
  <c r="U49" i="99"/>
  <c r="M49" i="99"/>
  <c r="J49" i="99"/>
  <c r="I49" i="99"/>
  <c r="AU48" i="99"/>
  <c r="AS48" i="99"/>
  <c r="AR48" i="99"/>
  <c r="AQ48" i="99"/>
  <c r="AP48" i="99"/>
  <c r="AM48" i="99"/>
  <c r="AL48" i="99"/>
  <c r="AJ48" i="99"/>
  <c r="AH48" i="99"/>
  <c r="AD48" i="99"/>
  <c r="AC48" i="99"/>
  <c r="AA48" i="99"/>
  <c r="Y48" i="99"/>
  <c r="AE48" i="99" s="1"/>
  <c r="AF48" i="99" s="1"/>
  <c r="U48" i="99"/>
  <c r="T48" i="99"/>
  <c r="R48" i="99"/>
  <c r="P48" i="99"/>
  <c r="N48" i="99"/>
  <c r="K48" i="99"/>
  <c r="H48" i="99"/>
  <c r="AW47" i="99"/>
  <c r="AV47" i="99"/>
  <c r="AO47" i="99"/>
  <c r="AN47" i="99"/>
  <c r="AM47" i="99"/>
  <c r="AE47" i="99"/>
  <c r="AD47" i="99"/>
  <c r="AF47" i="99" s="1"/>
  <c r="V47" i="99"/>
  <c r="U47" i="99"/>
  <c r="K47" i="99"/>
  <c r="AZ47" i="99" s="1"/>
  <c r="AU46" i="99"/>
  <c r="AT46" i="99"/>
  <c r="AS46" i="99"/>
  <c r="AR46" i="99"/>
  <c r="AQ46" i="99"/>
  <c r="AP46" i="99"/>
  <c r="AL46" i="99"/>
  <c r="AK46" i="99"/>
  <c r="AJ46" i="99"/>
  <c r="AI46" i="99"/>
  <c r="AH46" i="99"/>
  <c r="AG46" i="99"/>
  <c r="AC46" i="99"/>
  <c r="AB46" i="99"/>
  <c r="AA46" i="99"/>
  <c r="Z46" i="99"/>
  <c r="Y46" i="99"/>
  <c r="U46" i="99"/>
  <c r="T46" i="99"/>
  <c r="R46" i="99"/>
  <c r="P46" i="99"/>
  <c r="N46" i="99"/>
  <c r="I46" i="99"/>
  <c r="K46" i="99" s="1"/>
  <c r="H46" i="99"/>
  <c r="E46" i="99"/>
  <c r="BC45" i="99"/>
  <c r="BE45" i="99" s="1"/>
  <c r="BB45" i="99"/>
  <c r="AD45" i="99"/>
  <c r="BA45" i="99" s="1"/>
  <c r="F45" i="99"/>
  <c r="H45" i="99" s="1"/>
  <c r="AV44" i="99"/>
  <c r="AU44" i="99"/>
  <c r="AU43" i="99" s="1"/>
  <c r="AS44" i="99"/>
  <c r="AS43" i="99" s="1"/>
  <c r="AQ44" i="99"/>
  <c r="AM44" i="99"/>
  <c r="AM43" i="99" s="1"/>
  <c r="AL44" i="99"/>
  <c r="AJ44" i="99"/>
  <c r="AJ43" i="99" s="1"/>
  <c r="AH44" i="99"/>
  <c r="AH43" i="99" s="1"/>
  <c r="AD44" i="99"/>
  <c r="AC44" i="99"/>
  <c r="AA44" i="99"/>
  <c r="AA43" i="99" s="1"/>
  <c r="Y44" i="99"/>
  <c r="Y43" i="99" s="1"/>
  <c r="T44" i="99"/>
  <c r="T43" i="99" s="1"/>
  <c r="R44" i="99"/>
  <c r="R43" i="99" s="1"/>
  <c r="P44" i="99"/>
  <c r="H44" i="99"/>
  <c r="F44" i="99"/>
  <c r="E44" i="99"/>
  <c r="E43" i="99" s="1"/>
  <c r="AV43" i="99"/>
  <c r="AT43" i="99"/>
  <c r="AR43" i="99"/>
  <c r="AP43" i="99"/>
  <c r="AK43" i="99"/>
  <c r="AI43" i="99"/>
  <c r="AG43" i="99"/>
  <c r="AB43" i="99"/>
  <c r="Z43" i="99"/>
  <c r="X43" i="99"/>
  <c r="AD43" i="99" s="1"/>
  <c r="S43" i="99"/>
  <c r="Q43" i="99"/>
  <c r="O43" i="99"/>
  <c r="F43" i="99"/>
  <c r="X42" i="99"/>
  <c r="O42" i="99"/>
  <c r="AZ41" i="99"/>
  <c r="AW41" i="99"/>
  <c r="AV41" i="99"/>
  <c r="AN41" i="99"/>
  <c r="AM41" i="99"/>
  <c r="AO41" i="99" s="1"/>
  <c r="AE41" i="99"/>
  <c r="AD41" i="99"/>
  <c r="V41" i="99"/>
  <c r="U41" i="99"/>
  <c r="AW40" i="99"/>
  <c r="AV40" i="99"/>
  <c r="AN40" i="99"/>
  <c r="AZ40" i="99" s="1"/>
  <c r="AM40" i="99"/>
  <c r="AE40" i="99"/>
  <c r="AD40" i="99"/>
  <c r="V40" i="99"/>
  <c r="U40" i="99"/>
  <c r="AZ39" i="99"/>
  <c r="AW39" i="99"/>
  <c r="AV39" i="99"/>
  <c r="AX39" i="99" s="1"/>
  <c r="AN39" i="99"/>
  <c r="AM39" i="99"/>
  <c r="AE39" i="99"/>
  <c r="AD39" i="99"/>
  <c r="AF39" i="99" s="1"/>
  <c r="V39" i="99"/>
  <c r="U39" i="99"/>
  <c r="AW38" i="99"/>
  <c r="AV38" i="99"/>
  <c r="AN38" i="99"/>
  <c r="AZ38" i="99" s="1"/>
  <c r="AM38" i="99"/>
  <c r="AO38" i="99" s="1"/>
  <c r="AE38" i="99"/>
  <c r="AD38" i="99"/>
  <c r="AF38" i="99" s="1"/>
  <c r="V38" i="99"/>
  <c r="U38" i="99"/>
  <c r="AV37" i="99"/>
  <c r="AU37" i="99"/>
  <c r="AS37" i="99"/>
  <c r="AQ37" i="99"/>
  <c r="AL37" i="99"/>
  <c r="AJ37" i="99"/>
  <c r="AI37" i="99"/>
  <c r="AH37" i="99"/>
  <c r="AC37" i="99"/>
  <c r="AB37" i="99"/>
  <c r="AA37" i="99"/>
  <c r="Z37" i="99"/>
  <c r="Z26" i="99" s="1"/>
  <c r="Y37" i="99"/>
  <c r="U37" i="99"/>
  <c r="T37" i="99"/>
  <c r="R37" i="99"/>
  <c r="P37" i="99"/>
  <c r="E37" i="99"/>
  <c r="F37" i="99" s="1"/>
  <c r="AV36" i="99"/>
  <c r="AU36" i="99"/>
  <c r="AS36" i="99"/>
  <c r="AQ36" i="99"/>
  <c r="AL36" i="99"/>
  <c r="AK36" i="99"/>
  <c r="AM36" i="99" s="1"/>
  <c r="AJ36" i="99"/>
  <c r="AH36" i="99"/>
  <c r="AC36" i="99"/>
  <c r="AB36" i="99"/>
  <c r="AA36" i="99"/>
  <c r="Y36" i="99"/>
  <c r="U36" i="99"/>
  <c r="T36" i="99"/>
  <c r="R36" i="99"/>
  <c r="F36" i="99"/>
  <c r="H36" i="99" s="1"/>
  <c r="AW35" i="99"/>
  <c r="AV35" i="99"/>
  <c r="AX35" i="99" s="1"/>
  <c r="AN35" i="99"/>
  <c r="AZ35" i="99" s="1"/>
  <c r="AM35" i="99"/>
  <c r="AO35" i="99" s="1"/>
  <c r="AE35" i="99"/>
  <c r="AD35" i="99"/>
  <c r="AF35" i="99" s="1"/>
  <c r="V35" i="99"/>
  <c r="U35" i="99"/>
  <c r="W35" i="99" s="1"/>
  <c r="E35" i="99"/>
  <c r="AV34" i="99"/>
  <c r="AU34" i="99"/>
  <c r="AS34" i="99"/>
  <c r="AQ34" i="99"/>
  <c r="AM34" i="99"/>
  <c r="AL34" i="99"/>
  <c r="AJ34" i="99"/>
  <c r="AH34" i="99"/>
  <c r="AD34" i="99"/>
  <c r="AC34" i="99"/>
  <c r="AA34" i="99"/>
  <c r="Y34" i="99"/>
  <c r="U34" i="99"/>
  <c r="BA34" i="99" s="1"/>
  <c r="T34" i="99"/>
  <c r="R34" i="99"/>
  <c r="P34" i="99"/>
  <c r="F34" i="99"/>
  <c r="H34" i="99" s="1"/>
  <c r="AV33" i="99"/>
  <c r="AU33" i="99"/>
  <c r="AS33" i="99"/>
  <c r="AQ33" i="99"/>
  <c r="AM33" i="99"/>
  <c r="AL33" i="99"/>
  <c r="AJ33" i="99"/>
  <c r="AH33" i="99"/>
  <c r="AD33" i="99"/>
  <c r="AA33" i="99"/>
  <c r="Y33" i="99"/>
  <c r="U33" i="99"/>
  <c r="T33" i="99"/>
  <c r="R33" i="99"/>
  <c r="P33" i="99"/>
  <c r="F33" i="99"/>
  <c r="AZ32" i="99"/>
  <c r="U32" i="99"/>
  <c r="BA32" i="99" s="1"/>
  <c r="R32" i="99"/>
  <c r="F32" i="99"/>
  <c r="H32" i="99" s="1"/>
  <c r="BA31" i="99"/>
  <c r="AZ31" i="99"/>
  <c r="V31" i="99"/>
  <c r="BB31" i="99" s="1"/>
  <c r="BC31" i="99" s="1"/>
  <c r="U31" i="99"/>
  <c r="W31" i="99" s="1"/>
  <c r="F31" i="99"/>
  <c r="H31" i="99" s="1"/>
  <c r="BB30" i="99"/>
  <c r="BC30" i="99" s="1"/>
  <c r="AZ30" i="99"/>
  <c r="V30" i="99"/>
  <c r="U30" i="99"/>
  <c r="W30" i="99" s="1"/>
  <c r="F30" i="99"/>
  <c r="H30" i="99" s="1"/>
  <c r="AZ29" i="99"/>
  <c r="U29" i="99"/>
  <c r="R29" i="99"/>
  <c r="V29" i="99" s="1"/>
  <c r="BB29" i="99" s="1"/>
  <c r="BC29" i="99" s="1"/>
  <c r="F29" i="99"/>
  <c r="H29" i="99" s="1"/>
  <c r="AZ28" i="99"/>
  <c r="Y28" i="99"/>
  <c r="T28" i="99"/>
  <c r="P28" i="99"/>
  <c r="E28" i="99"/>
  <c r="F28" i="99" s="1"/>
  <c r="H28" i="99" s="1"/>
  <c r="AZ27" i="99"/>
  <c r="AW27" i="99"/>
  <c r="AV27" i="99"/>
  <c r="AN27" i="99"/>
  <c r="AM27" i="99"/>
  <c r="AO27" i="99" s="1"/>
  <c r="AE27" i="99"/>
  <c r="AF27" i="99" s="1"/>
  <c r="AD27" i="99"/>
  <c r="V27" i="99"/>
  <c r="U27" i="99"/>
  <c r="E27" i="99"/>
  <c r="AT26" i="99"/>
  <c r="AR26" i="99"/>
  <c r="AP26" i="99"/>
  <c r="AG26" i="99"/>
  <c r="X26" i="99"/>
  <c r="S26" i="99"/>
  <c r="Q26" i="99"/>
  <c r="O26" i="99"/>
  <c r="BH25" i="99"/>
  <c r="AU25" i="99"/>
  <c r="AT25" i="99"/>
  <c r="AS25" i="99"/>
  <c r="AR25" i="99"/>
  <c r="AQ25" i="99"/>
  <c r="AP25" i="99"/>
  <c r="BG25" i="99" s="1"/>
  <c r="BI25" i="99" s="1"/>
  <c r="AM25" i="99"/>
  <c r="AL25" i="99"/>
  <c r="AJ25" i="99"/>
  <c r="AH25" i="99"/>
  <c r="AD25" i="99"/>
  <c r="AC25" i="99"/>
  <c r="AA25" i="99"/>
  <c r="Y25" i="99"/>
  <c r="U25" i="99"/>
  <c r="T25" i="99"/>
  <c r="R25" i="99"/>
  <c r="P25" i="99"/>
  <c r="I25" i="99"/>
  <c r="K25" i="99" s="1"/>
  <c r="BH24" i="99"/>
  <c r="BG24" i="99"/>
  <c r="BI24" i="99" s="1"/>
  <c r="AU24" i="99"/>
  <c r="AS24" i="99"/>
  <c r="AR24" i="99"/>
  <c r="AV24" i="99" s="1"/>
  <c r="AQ24" i="99"/>
  <c r="AM24" i="99"/>
  <c r="I24" i="99" s="1"/>
  <c r="K24" i="99" s="1"/>
  <c r="AL24" i="99"/>
  <c r="AJ24" i="99"/>
  <c r="AH24" i="99"/>
  <c r="AD24" i="99"/>
  <c r="AC24" i="99"/>
  <c r="AA24" i="99"/>
  <c r="Y24" i="99"/>
  <c r="U24" i="99"/>
  <c r="T24" i="99"/>
  <c r="R24" i="99"/>
  <c r="P24" i="99"/>
  <c r="L24" i="99"/>
  <c r="N24" i="99" s="1"/>
  <c r="BH23" i="99"/>
  <c r="AU23" i="99"/>
  <c r="AS23" i="99"/>
  <c r="AR23" i="99"/>
  <c r="BG23" i="99" s="1"/>
  <c r="AQ23" i="99"/>
  <c r="AM23" i="99"/>
  <c r="I23" i="99" s="1"/>
  <c r="K23" i="99" s="1"/>
  <c r="AL23" i="99"/>
  <c r="AJ23" i="99"/>
  <c r="AH23" i="99"/>
  <c r="AD23" i="99"/>
  <c r="AC23" i="99"/>
  <c r="AA23" i="99"/>
  <c r="Y23" i="99"/>
  <c r="U23" i="99"/>
  <c r="F23" i="99" s="1"/>
  <c r="T23" i="99"/>
  <c r="R23" i="99"/>
  <c r="P23" i="99"/>
  <c r="BH22" i="99"/>
  <c r="AU22" i="99"/>
  <c r="AS22" i="99"/>
  <c r="AR22" i="99"/>
  <c r="AR15" i="99" s="1"/>
  <c r="AQ22" i="99"/>
  <c r="AP22" i="99"/>
  <c r="AM22" i="99"/>
  <c r="I22" i="99" s="1"/>
  <c r="K22" i="99" s="1"/>
  <c r="AL22" i="99"/>
  <c r="AJ22" i="99"/>
  <c r="AH22" i="99"/>
  <c r="AD22" i="99"/>
  <c r="AC22" i="99"/>
  <c r="AA22" i="99"/>
  <c r="Y22" i="99"/>
  <c r="U22" i="99"/>
  <c r="F22" i="99" s="1"/>
  <c r="H22" i="99" s="1"/>
  <c r="T22" i="99"/>
  <c r="R22" i="99"/>
  <c r="P22" i="99"/>
  <c r="BH21" i="99"/>
  <c r="BG21" i="99"/>
  <c r="BI21" i="99" s="1"/>
  <c r="AU21" i="99"/>
  <c r="AT21" i="99"/>
  <c r="AS21" i="99"/>
  <c r="AR21" i="99"/>
  <c r="AV21" i="99" s="1"/>
  <c r="L21" i="99" s="1"/>
  <c r="N21" i="99" s="1"/>
  <c r="AQ21" i="99"/>
  <c r="AM21" i="99"/>
  <c r="I21" i="99" s="1"/>
  <c r="K21" i="99" s="1"/>
  <c r="AL21" i="99"/>
  <c r="AJ21" i="99"/>
  <c r="AH21" i="99"/>
  <c r="AD21" i="99"/>
  <c r="AC21" i="99"/>
  <c r="AA21" i="99"/>
  <c r="Y21" i="99"/>
  <c r="U21" i="99"/>
  <c r="T21" i="99"/>
  <c r="R21" i="99"/>
  <c r="P21" i="99"/>
  <c r="BH20" i="99"/>
  <c r="AV20" i="99"/>
  <c r="L20" i="99" s="1"/>
  <c r="N20" i="99" s="1"/>
  <c r="AU20" i="99"/>
  <c r="AS20" i="99"/>
  <c r="AR20" i="99"/>
  <c r="BG20" i="99" s="1"/>
  <c r="BI20" i="99" s="1"/>
  <c r="AQ20" i="99"/>
  <c r="AM20" i="99"/>
  <c r="I20" i="99" s="1"/>
  <c r="K20" i="99" s="1"/>
  <c r="AL20" i="99"/>
  <c r="AJ20" i="99"/>
  <c r="AH20" i="99"/>
  <c r="AD20" i="99"/>
  <c r="AC20" i="99"/>
  <c r="AA20" i="99"/>
  <c r="Y20" i="99"/>
  <c r="U20" i="99"/>
  <c r="F20" i="99" s="1"/>
  <c r="T20" i="99"/>
  <c r="R20" i="99"/>
  <c r="P20" i="99"/>
  <c r="BH19" i="99"/>
  <c r="BG19" i="99"/>
  <c r="AV19" i="99"/>
  <c r="L19" i="99" s="1"/>
  <c r="N19" i="99" s="1"/>
  <c r="AU19" i="99"/>
  <c r="AS19" i="99"/>
  <c r="AQ19" i="99"/>
  <c r="AM19" i="99"/>
  <c r="AL19" i="99"/>
  <c r="AJ19" i="99"/>
  <c r="AH19" i="99"/>
  <c r="AD19" i="99"/>
  <c r="AC19" i="99"/>
  <c r="AA19" i="99"/>
  <c r="Y19" i="99"/>
  <c r="U19" i="99"/>
  <c r="T19" i="99"/>
  <c r="R19" i="99"/>
  <c r="P19" i="99"/>
  <c r="I19" i="99"/>
  <c r="K19" i="99" s="1"/>
  <c r="BH18" i="99"/>
  <c r="BG18" i="99"/>
  <c r="BI18" i="99" s="1"/>
  <c r="AV18" i="99"/>
  <c r="AU18" i="99"/>
  <c r="AS18" i="99"/>
  <c r="AQ18" i="99"/>
  <c r="AM18" i="99"/>
  <c r="AL18" i="99"/>
  <c r="AH18" i="99"/>
  <c r="AF18" i="99"/>
  <c r="AD18" i="99"/>
  <c r="AC18" i="99"/>
  <c r="AA18" i="99"/>
  <c r="Y18" i="99"/>
  <c r="AE18" i="99" s="1"/>
  <c r="U18" i="99"/>
  <c r="T18" i="99"/>
  <c r="R18" i="99"/>
  <c r="P18" i="99"/>
  <c r="BK18" i="99" s="1"/>
  <c r="L18" i="99"/>
  <c r="N18" i="99" s="1"/>
  <c r="BH17" i="99"/>
  <c r="AU17" i="99"/>
  <c r="AT17" i="99"/>
  <c r="BG17" i="99" s="1"/>
  <c r="AS17" i="99"/>
  <c r="AQ17" i="99"/>
  <c r="AW17" i="99" s="1"/>
  <c r="AM17" i="99"/>
  <c r="AL17" i="99"/>
  <c r="AJ17" i="99"/>
  <c r="AH17" i="99"/>
  <c r="AD17" i="99"/>
  <c r="AC17" i="99"/>
  <c r="AA17" i="99"/>
  <c r="Y17" i="99"/>
  <c r="AE17" i="99" s="1"/>
  <c r="U17" i="99"/>
  <c r="T17" i="99"/>
  <c r="R17" i="99"/>
  <c r="P17" i="99"/>
  <c r="BH16" i="99"/>
  <c r="BH26" i="99" s="1"/>
  <c r="AU16" i="99"/>
  <c r="AU15" i="99" s="1"/>
  <c r="AT16" i="99"/>
  <c r="AT15" i="99" s="1"/>
  <c r="AT6" i="99" s="1"/>
  <c r="AS16" i="99"/>
  <c r="AS15" i="99" s="1"/>
  <c r="AR16" i="99"/>
  <c r="AQ16" i="99"/>
  <c r="AM16" i="99"/>
  <c r="AL16" i="99"/>
  <c r="AJ16" i="99"/>
  <c r="AJ15" i="99" s="1"/>
  <c r="AH16" i="99"/>
  <c r="AD16" i="99"/>
  <c r="F16" i="99" s="1"/>
  <c r="AC16" i="99"/>
  <c r="AC15" i="99" s="1"/>
  <c r="AA16" i="99"/>
  <c r="AA15" i="99" s="1"/>
  <c r="Y16" i="99"/>
  <c r="U16" i="99"/>
  <c r="T16" i="99"/>
  <c r="R16" i="99"/>
  <c r="P16" i="99"/>
  <c r="P15" i="99" s="1"/>
  <c r="I16" i="99"/>
  <c r="AK15" i="99"/>
  <c r="AI15" i="99"/>
  <c r="AG15" i="99"/>
  <c r="AB15" i="99"/>
  <c r="Z15" i="99"/>
  <c r="Z6" i="99" s="1"/>
  <c r="X15" i="99"/>
  <c r="S15" i="99"/>
  <c r="S6" i="99" s="1"/>
  <c r="S64" i="99" s="1"/>
  <c r="Q15" i="99"/>
  <c r="O15" i="99"/>
  <c r="G15" i="99"/>
  <c r="AV14" i="99"/>
  <c r="AU14" i="99"/>
  <c r="AS14" i="99"/>
  <c r="AQ14" i="99"/>
  <c r="AM14" i="99"/>
  <c r="I14" i="99" s="1"/>
  <c r="K14" i="99" s="1"/>
  <c r="AL14" i="99"/>
  <c r="AJ14" i="99"/>
  <c r="AH14" i="99"/>
  <c r="AD14" i="99"/>
  <c r="AC14" i="99"/>
  <c r="AA14" i="99"/>
  <c r="Y14" i="99"/>
  <c r="U14" i="99"/>
  <c r="F14" i="99" s="1"/>
  <c r="T14" i="99"/>
  <c r="R14" i="99"/>
  <c r="P14" i="99"/>
  <c r="L14" i="99"/>
  <c r="N14" i="99" s="1"/>
  <c r="BA13" i="99"/>
  <c r="AV13" i="99"/>
  <c r="AU13" i="99"/>
  <c r="AS13" i="99"/>
  <c r="AQ13" i="99"/>
  <c r="AM13" i="99"/>
  <c r="I13" i="99" s="1"/>
  <c r="K13" i="99" s="1"/>
  <c r="AL13" i="99"/>
  <c r="AJ13" i="99"/>
  <c r="AH13" i="99"/>
  <c r="AD13" i="99"/>
  <c r="AC13" i="99"/>
  <c r="AA13" i="99"/>
  <c r="Y13" i="99"/>
  <c r="U13" i="99"/>
  <c r="F13" i="99" s="1"/>
  <c r="T13" i="99"/>
  <c r="R13" i="99"/>
  <c r="P13" i="99"/>
  <c r="L13" i="99"/>
  <c r="N13" i="99" s="1"/>
  <c r="AV12" i="99"/>
  <c r="AU12" i="99"/>
  <c r="AS12" i="99"/>
  <c r="AQ12" i="99"/>
  <c r="AM12" i="99"/>
  <c r="I12" i="99" s="1"/>
  <c r="K12" i="99" s="1"/>
  <c r="AL12" i="99"/>
  <c r="AJ12" i="99"/>
  <c r="AH12" i="99"/>
  <c r="AD12" i="99"/>
  <c r="AC12" i="99"/>
  <c r="AA12" i="99"/>
  <c r="Y12" i="99"/>
  <c r="U12" i="99"/>
  <c r="F12" i="99" s="1"/>
  <c r="T12" i="99"/>
  <c r="R12" i="99"/>
  <c r="P12" i="99"/>
  <c r="L12" i="99"/>
  <c r="N12" i="99" s="1"/>
  <c r="AV11" i="99"/>
  <c r="L11" i="99" s="1"/>
  <c r="N11" i="99" s="1"/>
  <c r="AU11" i="99"/>
  <c r="AS11" i="99"/>
  <c r="AQ11" i="99"/>
  <c r="AM11" i="99"/>
  <c r="I11" i="99" s="1"/>
  <c r="K11" i="99" s="1"/>
  <c r="AL11" i="99"/>
  <c r="AJ11" i="99"/>
  <c r="AH11" i="99"/>
  <c r="AD11" i="99"/>
  <c r="AC11" i="99"/>
  <c r="AA11" i="99"/>
  <c r="Y11" i="99"/>
  <c r="U11" i="99"/>
  <c r="F11" i="99" s="1"/>
  <c r="T11" i="99"/>
  <c r="R11" i="99"/>
  <c r="P11" i="99"/>
  <c r="AU10" i="99"/>
  <c r="AT10" i="99"/>
  <c r="AS10" i="99"/>
  <c r="AR10" i="99"/>
  <c r="AQ10" i="99"/>
  <c r="AP10" i="99"/>
  <c r="AL10" i="99"/>
  <c r="AK10" i="99"/>
  <c r="AJ10" i="99"/>
  <c r="AI10" i="99"/>
  <c r="AH10" i="99"/>
  <c r="AG10" i="99"/>
  <c r="AM10" i="99" s="1"/>
  <c r="I10" i="99" s="1"/>
  <c r="K10" i="99" s="1"/>
  <c r="AD10" i="99"/>
  <c r="AC10" i="99"/>
  <c r="AB10" i="99"/>
  <c r="AA10" i="99"/>
  <c r="Y10" i="99"/>
  <c r="U10" i="99"/>
  <c r="F10" i="99" s="1"/>
  <c r="H10" i="99" s="1"/>
  <c r="T10" i="99"/>
  <c r="R10" i="99"/>
  <c r="P10" i="99"/>
  <c r="AU9" i="99"/>
  <c r="AT9" i="99"/>
  <c r="AS9" i="99"/>
  <c r="AR9" i="99"/>
  <c r="AQ9" i="99"/>
  <c r="AP9" i="99"/>
  <c r="AV9" i="99" s="1"/>
  <c r="L9" i="99" s="1"/>
  <c r="N9" i="99" s="1"/>
  <c r="AL9" i="99"/>
  <c r="AK9" i="99"/>
  <c r="AJ9" i="99"/>
  <c r="AI9" i="99"/>
  <c r="AH9" i="99"/>
  <c r="AG9" i="99"/>
  <c r="AG6" i="99" s="1"/>
  <c r="AC9" i="99"/>
  <c r="AB9" i="99"/>
  <c r="AA9" i="99"/>
  <c r="Y9" i="99"/>
  <c r="U9" i="99"/>
  <c r="T9" i="99"/>
  <c r="R9" i="99"/>
  <c r="P9" i="99"/>
  <c r="AV8" i="99"/>
  <c r="AU8" i="99"/>
  <c r="AT8" i="99"/>
  <c r="AS8" i="99"/>
  <c r="AQ8" i="99"/>
  <c r="AM8" i="99"/>
  <c r="I8" i="99" s="1"/>
  <c r="AL8" i="99"/>
  <c r="AJ8" i="99"/>
  <c r="AH8" i="99"/>
  <c r="AD8" i="99"/>
  <c r="AC8" i="99"/>
  <c r="AA8" i="99"/>
  <c r="Y8" i="99"/>
  <c r="U8" i="99"/>
  <c r="BA8" i="99" s="1"/>
  <c r="T8" i="99"/>
  <c r="R8" i="99"/>
  <c r="P8" i="99"/>
  <c r="AW7" i="99"/>
  <c r="AX7" i="99" s="1"/>
  <c r="AV7" i="99"/>
  <c r="AN7" i="99"/>
  <c r="AM7" i="99"/>
  <c r="AO7" i="99" s="1"/>
  <c r="AE7" i="99"/>
  <c r="AD7" i="99"/>
  <c r="AF7" i="99" s="1"/>
  <c r="V7" i="99"/>
  <c r="BB7" i="99" s="1"/>
  <c r="N7" i="99"/>
  <c r="K7" i="99"/>
  <c r="E7" i="99"/>
  <c r="AI6" i="99"/>
  <c r="X6" i="99"/>
  <c r="X64" i="99" s="1"/>
  <c r="Q6" i="99"/>
  <c r="O6" i="99"/>
  <c r="M6" i="99"/>
  <c r="M64" i="99" s="1"/>
  <c r="J6" i="99"/>
  <c r="J64" i="99" s="1"/>
  <c r="G6" i="99"/>
  <c r="AA2" i="99"/>
  <c r="AC2" i="99" s="1"/>
  <c r="V2" i="99"/>
  <c r="T2" i="99"/>
  <c r="M2" i="99"/>
  <c r="I2" i="99"/>
  <c r="G2" i="99"/>
  <c r="F2" i="99"/>
  <c r="BC1" i="99"/>
  <c r="P84" i="94"/>
  <c r="O84" i="94"/>
  <c r="N84" i="94"/>
  <c r="L84" i="94"/>
  <c r="H84" i="94"/>
  <c r="G84" i="94"/>
  <c r="R83" i="94"/>
  <c r="Q83" i="94"/>
  <c r="M83" i="94"/>
  <c r="E83" i="94"/>
  <c r="R82" i="94"/>
  <c r="Q82" i="94"/>
  <c r="E82" i="94"/>
  <c r="M82" i="94" s="1"/>
  <c r="R81" i="94"/>
  <c r="Q81" i="94"/>
  <c r="M81" i="94"/>
  <c r="E81" i="94"/>
  <c r="R80" i="94"/>
  <c r="Q80" i="94"/>
  <c r="M80" i="94"/>
  <c r="R79" i="94"/>
  <c r="Q79" i="94"/>
  <c r="E79" i="94"/>
  <c r="M79" i="94" s="1"/>
  <c r="R78" i="94"/>
  <c r="Q78" i="94"/>
  <c r="E78" i="94"/>
  <c r="M78" i="94" s="1"/>
  <c r="R77" i="94"/>
  <c r="Q77" i="94"/>
  <c r="M77" i="94"/>
  <c r="R76" i="94"/>
  <c r="Q76" i="94"/>
  <c r="E76" i="94"/>
  <c r="M76" i="94" s="1"/>
  <c r="R75" i="94"/>
  <c r="Q75" i="94"/>
  <c r="M75" i="94"/>
  <c r="R74" i="94"/>
  <c r="R84" i="94" s="1"/>
  <c r="Q74" i="94"/>
  <c r="E74" i="94"/>
  <c r="M74" i="94" s="1"/>
  <c r="S72" i="94"/>
  <c r="H70" i="94"/>
  <c r="H68" i="94"/>
  <c r="H67" i="94"/>
  <c r="H66" i="94"/>
  <c r="AY64" i="94"/>
  <c r="AT61" i="94"/>
  <c r="AS61" i="94"/>
  <c r="AU61" i="94" s="1"/>
  <c r="AK61" i="94"/>
  <c r="AJ61" i="94"/>
  <c r="AL61" i="94" s="1"/>
  <c r="AB61" i="94"/>
  <c r="AA61" i="94"/>
  <c r="S61" i="94"/>
  <c r="R61" i="94"/>
  <c r="H61" i="94"/>
  <c r="AS60" i="94"/>
  <c r="AR60" i="94"/>
  <c r="AP60" i="94"/>
  <c r="AN60" i="94"/>
  <c r="AJ60" i="94"/>
  <c r="AI60" i="94"/>
  <c r="AG60" i="94"/>
  <c r="AE60" i="94"/>
  <c r="AA60" i="94"/>
  <c r="Z60" i="94"/>
  <c r="X60" i="94"/>
  <c r="V60" i="94"/>
  <c r="V58" i="94" s="1"/>
  <c r="R60" i="94"/>
  <c r="AW60" i="94" s="1"/>
  <c r="Q60" i="94"/>
  <c r="Q58" i="94" s="1"/>
  <c r="O60" i="94"/>
  <c r="M60" i="94"/>
  <c r="H60" i="94"/>
  <c r="AS59" i="94"/>
  <c r="AR59" i="94"/>
  <c r="AP59" i="94"/>
  <c r="AN59" i="94"/>
  <c r="AJ59" i="94"/>
  <c r="AI59" i="94"/>
  <c r="AG59" i="94"/>
  <c r="AE59" i="94"/>
  <c r="AA59" i="94"/>
  <c r="Z59" i="94"/>
  <c r="X59" i="94"/>
  <c r="R59" i="94"/>
  <c r="AW59" i="94" s="1"/>
  <c r="O59" i="94"/>
  <c r="M59" i="94"/>
  <c r="H59" i="94"/>
  <c r="AS58" i="94"/>
  <c r="AQ58" i="94"/>
  <c r="AO58" i="94"/>
  <c r="AM58" i="94"/>
  <c r="AJ58" i="94"/>
  <c r="AH58" i="94"/>
  <c r="AF58" i="94"/>
  <c r="AD58" i="94"/>
  <c r="Y58" i="94"/>
  <c r="W58" i="94"/>
  <c r="U58" i="94"/>
  <c r="R58" i="94"/>
  <c r="P58" i="94"/>
  <c r="N58" i="94"/>
  <c r="L58" i="94"/>
  <c r="I58" i="94"/>
  <c r="G58" i="94"/>
  <c r="F58" i="94"/>
  <c r="E58" i="94"/>
  <c r="E40" i="94" s="1"/>
  <c r="AS57" i="94"/>
  <c r="AR57" i="94"/>
  <c r="AP57" i="94"/>
  <c r="AN57" i="94"/>
  <c r="AJ57" i="94"/>
  <c r="AI57" i="94"/>
  <c r="AG57" i="94"/>
  <c r="AE57" i="94"/>
  <c r="AA57" i="94"/>
  <c r="Z57" i="94"/>
  <c r="X57" i="94"/>
  <c r="V57" i="94"/>
  <c r="R57" i="94"/>
  <c r="Q57" i="94"/>
  <c r="M57" i="94"/>
  <c r="H57" i="94"/>
  <c r="AR56" i="94"/>
  <c r="AQ56" i="94"/>
  <c r="AQ55" i="94" s="1"/>
  <c r="AP56" i="94"/>
  <c r="AO56" i="94"/>
  <c r="AO55" i="94" s="1"/>
  <c r="AN56" i="94"/>
  <c r="AM56" i="94"/>
  <c r="AM55" i="94" s="1"/>
  <c r="AI56" i="94"/>
  <c r="AH56" i="94"/>
  <c r="AH55" i="94" s="1"/>
  <c r="AG56" i="94"/>
  <c r="AF56" i="94"/>
  <c r="AF55" i="94" s="1"/>
  <c r="AE56" i="94"/>
  <c r="AD56" i="94"/>
  <c r="AD55" i="94" s="1"/>
  <c r="Z56" i="94"/>
  <c r="Y56" i="94"/>
  <c r="Y55" i="94" s="1"/>
  <c r="X56" i="94"/>
  <c r="W56" i="94"/>
  <c r="W55" i="94" s="1"/>
  <c r="V56" i="94"/>
  <c r="U56" i="94"/>
  <c r="Q56" i="94"/>
  <c r="P56" i="94"/>
  <c r="P55" i="94" s="1"/>
  <c r="O56" i="94"/>
  <c r="O55" i="94" s="1"/>
  <c r="N56" i="94"/>
  <c r="N55" i="94" s="1"/>
  <c r="M56" i="94"/>
  <c r="M55" i="94" s="1"/>
  <c r="L56" i="94"/>
  <c r="F56" i="94"/>
  <c r="H56" i="94" s="1"/>
  <c r="G55" i="94"/>
  <c r="AS54" i="94"/>
  <c r="AR54" i="94"/>
  <c r="AP54" i="94"/>
  <c r="AN54" i="94"/>
  <c r="AJ54" i="94"/>
  <c r="AI54" i="94"/>
  <c r="AG54" i="94"/>
  <c r="AE54" i="94"/>
  <c r="AA54" i="94"/>
  <c r="Z54" i="94"/>
  <c r="X54" i="94"/>
  <c r="V54" i="94"/>
  <c r="R54" i="94"/>
  <c r="AW54" i="94" s="1"/>
  <c r="Q54" i="94"/>
  <c r="O54" i="94"/>
  <c r="M54" i="94"/>
  <c r="H54" i="94"/>
  <c r="AT53" i="94"/>
  <c r="AS53" i="94"/>
  <c r="AU53" i="94" s="1"/>
  <c r="AK53" i="94"/>
  <c r="AJ53" i="94"/>
  <c r="AB53" i="94"/>
  <c r="AA53" i="94"/>
  <c r="AC53" i="94" s="1"/>
  <c r="S53" i="94"/>
  <c r="R53" i="94"/>
  <c r="T53" i="94" s="1"/>
  <c r="H53" i="94"/>
  <c r="E53" i="94"/>
  <c r="AW52" i="94"/>
  <c r="AT52" i="94"/>
  <c r="AS52" i="94"/>
  <c r="AK52" i="94"/>
  <c r="AJ52" i="94"/>
  <c r="AL52" i="94" s="1"/>
  <c r="AC52" i="94"/>
  <c r="AB52" i="94"/>
  <c r="AA52" i="94"/>
  <c r="T52" i="94"/>
  <c r="R52" i="94"/>
  <c r="Q52" i="94"/>
  <c r="O52" i="94"/>
  <c r="M52" i="94"/>
  <c r="S52" i="94" s="1"/>
  <c r="H52" i="94"/>
  <c r="AS51" i="94"/>
  <c r="AR51" i="94"/>
  <c r="AR50" i="94" s="1"/>
  <c r="AP51" i="94"/>
  <c r="AP50" i="94" s="1"/>
  <c r="AN51" i="94"/>
  <c r="AN50" i="94" s="1"/>
  <c r="AJ51" i="94"/>
  <c r="AI51" i="94"/>
  <c r="AI50" i="94" s="1"/>
  <c r="AE51" i="94"/>
  <c r="AE50" i="94" s="1"/>
  <c r="Z51" i="94"/>
  <c r="Z50" i="94" s="1"/>
  <c r="X51" i="94"/>
  <c r="X50" i="94" s="1"/>
  <c r="W51" i="94"/>
  <c r="AA51" i="94" s="1"/>
  <c r="V51" i="94"/>
  <c r="V50" i="94" s="1"/>
  <c r="Q51" i="94"/>
  <c r="Q50" i="94" s="1"/>
  <c r="P51" i="94"/>
  <c r="P50" i="94" s="1"/>
  <c r="O51" i="94"/>
  <c r="O50" i="94" s="1"/>
  <c r="M51" i="94"/>
  <c r="M50" i="94" s="1"/>
  <c r="F51" i="94"/>
  <c r="H51" i="94" s="1"/>
  <c r="H50" i="94" s="1"/>
  <c r="AS50" i="94"/>
  <c r="AQ50" i="94"/>
  <c r="AO50" i="94"/>
  <c r="AM50" i="94"/>
  <c r="AJ50" i="94"/>
  <c r="AH50" i="94"/>
  <c r="AG50" i="94"/>
  <c r="AF50" i="94"/>
  <c r="AD50" i="94"/>
  <c r="Y50" i="94"/>
  <c r="U50" i="94"/>
  <c r="N50" i="94"/>
  <c r="L50" i="94"/>
  <c r="G50" i="94"/>
  <c r="F50" i="94"/>
  <c r="E50" i="94"/>
  <c r="E51" i="94" s="1"/>
  <c r="AS49" i="94"/>
  <c r="AR49" i="94"/>
  <c r="AP49" i="94"/>
  <c r="AN49" i="94"/>
  <c r="AJ49" i="94"/>
  <c r="AI49" i="94"/>
  <c r="AG49" i="94"/>
  <c r="AK49" i="94" s="1"/>
  <c r="AE49" i="94"/>
  <c r="AA49" i="94"/>
  <c r="Z49" i="94"/>
  <c r="X49" i="94"/>
  <c r="V49" i="94"/>
  <c r="R49" i="94"/>
  <c r="Q49" i="94"/>
  <c r="O49" i="94"/>
  <c r="M49" i="94"/>
  <c r="H49" i="94"/>
  <c r="AS48" i="94"/>
  <c r="AR48" i="94"/>
  <c r="AP48" i="94"/>
  <c r="AN48" i="94"/>
  <c r="AI48" i="94"/>
  <c r="AG48" i="94"/>
  <c r="AE48" i="94"/>
  <c r="AA48" i="94"/>
  <c r="Z48" i="94"/>
  <c r="X48" i="94"/>
  <c r="V48" i="94"/>
  <c r="R48" i="94"/>
  <c r="Q48" i="94"/>
  <c r="O48" i="94"/>
  <c r="S48" i="94" s="1"/>
  <c r="M48" i="94"/>
  <c r="F48" i="94"/>
  <c r="AT47" i="94"/>
  <c r="AS47" i="94"/>
  <c r="AU47" i="94" s="1"/>
  <c r="AM47" i="94"/>
  <c r="AK47" i="94"/>
  <c r="AJ47" i="94"/>
  <c r="AB47" i="94"/>
  <c r="AA47" i="94"/>
  <c r="R47" i="94"/>
  <c r="G47" i="94"/>
  <c r="G62" i="94" s="1"/>
  <c r="AR46" i="94"/>
  <c r="AP46" i="94"/>
  <c r="AO46" i="94"/>
  <c r="AN46" i="94"/>
  <c r="AT46" i="94" s="1"/>
  <c r="AM46" i="94"/>
  <c r="AJ46" i="94"/>
  <c r="AI46" i="94"/>
  <c r="AG46" i="94"/>
  <c r="AE46" i="94"/>
  <c r="AK46" i="94" s="1"/>
  <c r="AL46" i="94" s="1"/>
  <c r="AA46" i="94"/>
  <c r="Z46" i="94"/>
  <c r="X46" i="94"/>
  <c r="V46" i="94"/>
  <c r="Q46" i="94"/>
  <c r="P46" i="94"/>
  <c r="O46" i="94"/>
  <c r="S46" i="94" s="1"/>
  <c r="N46" i="94"/>
  <c r="M46" i="94"/>
  <c r="H46" i="94"/>
  <c r="AT45" i="94"/>
  <c r="AS45" i="94"/>
  <c r="AU45" i="94" s="1"/>
  <c r="AK45" i="94"/>
  <c r="AJ45" i="94"/>
  <c r="AC45" i="94"/>
  <c r="AB45" i="94"/>
  <c r="AA45" i="94"/>
  <c r="T45" i="94"/>
  <c r="S45" i="94"/>
  <c r="R45" i="94"/>
  <c r="AW45" i="94" s="1"/>
  <c r="E45" i="94"/>
  <c r="AY45" i="94" s="1"/>
  <c r="AR44" i="94"/>
  <c r="AQ44" i="94"/>
  <c r="AP44" i="94"/>
  <c r="AO44" i="94"/>
  <c r="AN44" i="94"/>
  <c r="AM44" i="94"/>
  <c r="AI44" i="94"/>
  <c r="AH44" i="94"/>
  <c r="AG44" i="94"/>
  <c r="AF44" i="94"/>
  <c r="AE44" i="94"/>
  <c r="AD44" i="94"/>
  <c r="Z44" i="94"/>
  <c r="Y44" i="94"/>
  <c r="X44" i="94"/>
  <c r="W44" i="94"/>
  <c r="V44" i="94"/>
  <c r="U44" i="94"/>
  <c r="Q44" i="94"/>
  <c r="P44" i="94"/>
  <c r="O44" i="94"/>
  <c r="N44" i="94"/>
  <c r="M44" i="94"/>
  <c r="L44" i="94"/>
  <c r="H44" i="94"/>
  <c r="AY43" i="94"/>
  <c r="AX43" i="94"/>
  <c r="AA43" i="94"/>
  <c r="AW43" i="94" s="1"/>
  <c r="F43" i="94"/>
  <c r="H43" i="94" s="1"/>
  <c r="AV43" i="94" s="1"/>
  <c r="E43" i="94"/>
  <c r="AS42" i="94"/>
  <c r="AS41" i="94" s="1"/>
  <c r="AR42" i="94"/>
  <c r="AP42" i="94"/>
  <c r="AN42" i="94"/>
  <c r="AJ42" i="94"/>
  <c r="AJ41" i="94" s="1"/>
  <c r="AI42" i="94"/>
  <c r="AG42" i="94"/>
  <c r="AE42" i="94"/>
  <c r="AA42" i="94"/>
  <c r="Z42" i="94"/>
  <c r="X42" i="94"/>
  <c r="X41" i="94" s="1"/>
  <c r="V42" i="94"/>
  <c r="Q42" i="94"/>
  <c r="O42" i="94"/>
  <c r="O41" i="94" s="1"/>
  <c r="M42" i="94"/>
  <c r="F42" i="94"/>
  <c r="F41" i="94" s="1"/>
  <c r="E42" i="94"/>
  <c r="Y41" i="94"/>
  <c r="W41" i="94"/>
  <c r="U41" i="94"/>
  <c r="P41" i="94"/>
  <c r="N41" i="94"/>
  <c r="L41" i="94"/>
  <c r="E41" i="94"/>
  <c r="G40" i="94"/>
  <c r="AT39" i="94"/>
  <c r="AS39" i="94"/>
  <c r="AK39" i="94"/>
  <c r="AJ39" i="94"/>
  <c r="AL39" i="94" s="1"/>
  <c r="AC39" i="94"/>
  <c r="AB39" i="94"/>
  <c r="AA39" i="94"/>
  <c r="S39" i="94"/>
  <c r="AY39" i="94" s="1"/>
  <c r="R39" i="94"/>
  <c r="AW39" i="94" s="1"/>
  <c r="AU38" i="94"/>
  <c r="AT38" i="94"/>
  <c r="AS38" i="94"/>
  <c r="AK38" i="94"/>
  <c r="AJ38" i="94"/>
  <c r="AL38" i="94" s="1"/>
  <c r="AB38" i="94"/>
  <c r="AA38" i="94"/>
  <c r="S38" i="94"/>
  <c r="R38" i="94"/>
  <c r="T38" i="94" s="1"/>
  <c r="AU37" i="94"/>
  <c r="AT37" i="94"/>
  <c r="AS37" i="94"/>
  <c r="AK37" i="94"/>
  <c r="AJ37" i="94"/>
  <c r="AB37" i="94"/>
  <c r="AA37" i="94"/>
  <c r="AC37" i="94" s="1"/>
  <c r="S37" i="94"/>
  <c r="AX37" i="94" s="1"/>
  <c r="R37" i="94"/>
  <c r="AT36" i="94"/>
  <c r="AS36" i="94"/>
  <c r="AK36" i="94"/>
  <c r="AJ36" i="94"/>
  <c r="AC36" i="94"/>
  <c r="AB36" i="94"/>
  <c r="AA36" i="94"/>
  <c r="S36" i="94"/>
  <c r="R36" i="94"/>
  <c r="AS35" i="94"/>
  <c r="AR35" i="94"/>
  <c r="AP35" i="94"/>
  <c r="AN35" i="94"/>
  <c r="AI35" i="94"/>
  <c r="AG35" i="94"/>
  <c r="AF35" i="94"/>
  <c r="AJ35" i="94" s="1"/>
  <c r="AE35" i="94"/>
  <c r="Z35" i="94"/>
  <c r="Y35" i="94"/>
  <c r="X35" i="94"/>
  <c r="W35" i="94"/>
  <c r="W24" i="94" s="1"/>
  <c r="V35" i="94"/>
  <c r="R35" i="94"/>
  <c r="Q35" i="94"/>
  <c r="O35" i="94"/>
  <c r="M35" i="94"/>
  <c r="E35" i="94"/>
  <c r="E33" i="94" s="1"/>
  <c r="AS34" i="94"/>
  <c r="AS24" i="94" s="1"/>
  <c r="AR34" i="94"/>
  <c r="AP34" i="94"/>
  <c r="AN34" i="94"/>
  <c r="AI34" i="94"/>
  <c r="AH34" i="94"/>
  <c r="AJ34" i="94" s="1"/>
  <c r="AG34" i="94"/>
  <c r="AE34" i="94"/>
  <c r="Z34" i="94"/>
  <c r="Y34" i="94"/>
  <c r="X34" i="94"/>
  <c r="V34" i="94"/>
  <c r="R34" i="94"/>
  <c r="Q34" i="94"/>
  <c r="O34" i="94"/>
  <c r="M34" i="94"/>
  <c r="H34" i="94"/>
  <c r="F34" i="94"/>
  <c r="AY33" i="94"/>
  <c r="AT33" i="94"/>
  <c r="AS33" i="94"/>
  <c r="AU33" i="94" s="1"/>
  <c r="AK33" i="94"/>
  <c r="AJ33" i="94"/>
  <c r="AB33" i="94"/>
  <c r="AA33" i="94"/>
  <c r="AC33" i="94" s="1"/>
  <c r="S33" i="94"/>
  <c r="R33" i="94"/>
  <c r="F33" i="94"/>
  <c r="AS32" i="94"/>
  <c r="AR32" i="94"/>
  <c r="AP32" i="94"/>
  <c r="AN32" i="94"/>
  <c r="AJ32" i="94"/>
  <c r="AI32" i="94"/>
  <c r="AG32" i="94"/>
  <c r="AE32" i="94"/>
  <c r="AA32" i="94"/>
  <c r="Z32" i="94"/>
  <c r="X32" i="94"/>
  <c r="V32" i="94"/>
  <c r="R32" i="94"/>
  <c r="AW32" i="94" s="1"/>
  <c r="Q32" i="94"/>
  <c r="O32" i="94"/>
  <c r="M32" i="94"/>
  <c r="F32" i="94"/>
  <c r="H32" i="94" s="1"/>
  <c r="AW31" i="94"/>
  <c r="AS31" i="94"/>
  <c r="AR31" i="94"/>
  <c r="AP31" i="94"/>
  <c r="AN31" i="94"/>
  <c r="AJ31" i="94"/>
  <c r="AI31" i="94"/>
  <c r="AG31" i="94"/>
  <c r="AE31" i="94"/>
  <c r="AA31" i="94"/>
  <c r="Z31" i="94"/>
  <c r="X31" i="94"/>
  <c r="V31" i="94"/>
  <c r="R31" i="94"/>
  <c r="Q31" i="94"/>
  <c r="O31" i="94"/>
  <c r="M31" i="94"/>
  <c r="F31" i="94"/>
  <c r="H31" i="94" s="1"/>
  <c r="R30" i="94"/>
  <c r="AW30" i="94" s="1"/>
  <c r="O30" i="94"/>
  <c r="S30" i="94" s="1"/>
  <c r="F30" i="94"/>
  <c r="H30" i="94" s="1"/>
  <c r="T29" i="94"/>
  <c r="S29" i="94"/>
  <c r="AX29" i="94" s="1"/>
  <c r="AY29" i="94" s="1"/>
  <c r="R29" i="94"/>
  <c r="AW29" i="94" s="1"/>
  <c r="F29" i="94"/>
  <c r="H29" i="94" s="1"/>
  <c r="S28" i="94"/>
  <c r="AX28" i="94" s="1"/>
  <c r="AY28" i="94" s="1"/>
  <c r="R28" i="94"/>
  <c r="AW28" i="94" s="1"/>
  <c r="H28" i="94"/>
  <c r="F28" i="94"/>
  <c r="R27" i="94"/>
  <c r="O27" i="94"/>
  <c r="S27" i="94" s="1"/>
  <c r="F27" i="94"/>
  <c r="H27" i="94" s="1"/>
  <c r="V26" i="94"/>
  <c r="Q26" i="94"/>
  <c r="M26" i="94"/>
  <c r="E26" i="94"/>
  <c r="F26" i="94" s="1"/>
  <c r="H26" i="94" s="1"/>
  <c r="AT25" i="94"/>
  <c r="AS25" i="94"/>
  <c r="AU25" i="94" s="1"/>
  <c r="AK25" i="94"/>
  <c r="AL25" i="94" s="1"/>
  <c r="AJ25" i="94"/>
  <c r="AB25" i="94"/>
  <c r="AA25" i="94"/>
  <c r="AC25" i="94" s="1"/>
  <c r="S25" i="94"/>
  <c r="R25" i="94"/>
  <c r="E25" i="94"/>
  <c r="AY25" i="94" s="1"/>
  <c r="AQ24" i="94"/>
  <c r="AO24" i="94"/>
  <c r="AM24" i="94"/>
  <c r="AD24" i="94"/>
  <c r="U24" i="94"/>
  <c r="P24" i="94"/>
  <c r="N24" i="94"/>
  <c r="L24" i="94"/>
  <c r="BB23" i="94"/>
  <c r="AR23" i="94"/>
  <c r="AQ23" i="94"/>
  <c r="AP23" i="94"/>
  <c r="AO23" i="94"/>
  <c r="AN23" i="94"/>
  <c r="AM23" i="94"/>
  <c r="AS23" i="94" s="1"/>
  <c r="AI23" i="94"/>
  <c r="AH23" i="94"/>
  <c r="AG23" i="94"/>
  <c r="AF23" i="94"/>
  <c r="AE23" i="94"/>
  <c r="AD23" i="94"/>
  <c r="Z23" i="94"/>
  <c r="Y23" i="94"/>
  <c r="X23" i="94"/>
  <c r="V23" i="94"/>
  <c r="R23" i="94"/>
  <c r="Q23" i="94"/>
  <c r="O23" i="94"/>
  <c r="M23" i="94"/>
  <c r="E23" i="94"/>
  <c r="AR22" i="94"/>
  <c r="AQ22" i="94"/>
  <c r="AP22" i="94"/>
  <c r="AO22" i="94"/>
  <c r="AN22" i="94"/>
  <c r="AM22" i="94"/>
  <c r="AI22" i="94"/>
  <c r="AH22" i="94"/>
  <c r="AJ22" i="94" s="1"/>
  <c r="AG22" i="94"/>
  <c r="AF22" i="94"/>
  <c r="AE22" i="94"/>
  <c r="AD22" i="94"/>
  <c r="AA22" i="94"/>
  <c r="Z22" i="94"/>
  <c r="Y22" i="94"/>
  <c r="X22" i="94"/>
  <c r="V22" i="94"/>
  <c r="Q22" i="94"/>
  <c r="P22" i="94"/>
  <c r="O22" i="94"/>
  <c r="N22" i="94"/>
  <c r="M22" i="94"/>
  <c r="E22" i="94"/>
  <c r="BB21" i="94"/>
  <c r="AR21" i="94"/>
  <c r="AQ21" i="94"/>
  <c r="AP21" i="94"/>
  <c r="AO21" i="94"/>
  <c r="AN21" i="94"/>
  <c r="AM21" i="94"/>
  <c r="AI21" i="94"/>
  <c r="AH21" i="94"/>
  <c r="AG21" i="94"/>
  <c r="AF21" i="94"/>
  <c r="AE21" i="94"/>
  <c r="AD21" i="94"/>
  <c r="AA21" i="94"/>
  <c r="Z21" i="94"/>
  <c r="Y21" i="94"/>
  <c r="X21" i="94"/>
  <c r="V21" i="94"/>
  <c r="R21" i="94"/>
  <c r="Q21" i="94"/>
  <c r="O21" i="94"/>
  <c r="M21" i="94"/>
  <c r="E21" i="94"/>
  <c r="AR20" i="94"/>
  <c r="AQ20" i="94"/>
  <c r="AP20" i="94"/>
  <c r="AO20" i="94"/>
  <c r="AN20" i="94"/>
  <c r="AM20" i="94"/>
  <c r="AI20" i="94"/>
  <c r="AH20" i="94"/>
  <c r="AG20" i="94"/>
  <c r="AF20" i="94"/>
  <c r="AJ20" i="94" s="1"/>
  <c r="AE20" i="94"/>
  <c r="AD20" i="94"/>
  <c r="Z20" i="94"/>
  <c r="Y20" i="94"/>
  <c r="AA20" i="94" s="1"/>
  <c r="X20" i="94"/>
  <c r="V20" i="94"/>
  <c r="Q20" i="94"/>
  <c r="O20" i="94"/>
  <c r="N20" i="94"/>
  <c r="BB20" i="94" s="1"/>
  <c r="M20" i="94"/>
  <c r="E20" i="94"/>
  <c r="AR19" i="94"/>
  <c r="AQ19" i="94"/>
  <c r="AP19" i="94"/>
  <c r="AO19" i="94"/>
  <c r="AN19" i="94"/>
  <c r="AM19" i="94"/>
  <c r="AI19" i="94"/>
  <c r="AH19" i="94"/>
  <c r="AG19" i="94"/>
  <c r="AF19" i="94"/>
  <c r="AE19" i="94"/>
  <c r="AD19" i="94"/>
  <c r="Z19" i="94"/>
  <c r="Y19" i="94"/>
  <c r="X19" i="94"/>
  <c r="W19" i="94"/>
  <c r="AA19" i="94" s="1"/>
  <c r="V19" i="94"/>
  <c r="R19" i="94"/>
  <c r="Q19" i="94"/>
  <c r="P19" i="94"/>
  <c r="O19" i="94"/>
  <c r="N19" i="94"/>
  <c r="M19" i="94"/>
  <c r="E19" i="94"/>
  <c r="AR18" i="94"/>
  <c r="AQ18" i="94"/>
  <c r="AP18" i="94"/>
  <c r="AO18" i="94"/>
  <c r="AN18" i="94"/>
  <c r="AM18" i="94"/>
  <c r="AI18" i="94"/>
  <c r="AH18" i="94"/>
  <c r="AG18" i="94"/>
  <c r="AF18" i="94"/>
  <c r="AE18" i="94"/>
  <c r="AD18" i="94"/>
  <c r="Z18" i="94"/>
  <c r="Y18" i="94"/>
  <c r="X18" i="94"/>
  <c r="V18" i="94"/>
  <c r="Q18" i="94"/>
  <c r="P18" i="94"/>
  <c r="P13" i="94" s="1"/>
  <c r="P4" i="94" s="1"/>
  <c r="O18" i="94"/>
  <c r="N18" i="94"/>
  <c r="M18" i="94"/>
  <c r="E18" i="94"/>
  <c r="BB17" i="94"/>
  <c r="AR17" i="94"/>
  <c r="AQ17" i="94"/>
  <c r="AP17" i="94"/>
  <c r="AO17" i="94"/>
  <c r="AS17" i="94" s="1"/>
  <c r="AN17" i="94"/>
  <c r="AM17" i="94"/>
  <c r="AI17" i="94"/>
  <c r="AH17" i="94"/>
  <c r="AG17" i="94"/>
  <c r="AF17" i="94"/>
  <c r="AE17" i="94"/>
  <c r="AD17" i="94"/>
  <c r="Z17" i="94"/>
  <c r="Y17" i="94"/>
  <c r="X17" i="94"/>
  <c r="V17" i="94"/>
  <c r="R17" i="94"/>
  <c r="Q17" i="94"/>
  <c r="O17" i="94"/>
  <c r="M17" i="94"/>
  <c r="E17" i="94"/>
  <c r="BB16" i="94"/>
  <c r="AR16" i="94"/>
  <c r="AP16" i="94"/>
  <c r="AO16" i="94"/>
  <c r="AN16" i="94"/>
  <c r="AT16" i="94" s="1"/>
  <c r="AM16" i="94"/>
  <c r="AI16" i="94"/>
  <c r="AH16" i="94"/>
  <c r="AG16" i="94"/>
  <c r="AF16" i="94"/>
  <c r="AE16" i="94"/>
  <c r="AK16" i="94" s="1"/>
  <c r="AD16" i="94"/>
  <c r="AA16" i="94"/>
  <c r="F16" i="94" s="1"/>
  <c r="H16" i="94" s="1"/>
  <c r="Z16" i="94"/>
  <c r="Y16" i="94"/>
  <c r="X16" i="94"/>
  <c r="V16" i="94"/>
  <c r="R16" i="94"/>
  <c r="Q16" i="94"/>
  <c r="O16" i="94"/>
  <c r="S16" i="94" s="1"/>
  <c r="M16" i="94"/>
  <c r="E16" i="94"/>
  <c r="BB15" i="94"/>
  <c r="AR15" i="94"/>
  <c r="AQ15" i="94"/>
  <c r="AP15" i="94"/>
  <c r="AO15" i="94"/>
  <c r="AN15" i="94"/>
  <c r="AM15" i="94"/>
  <c r="AS15" i="94" s="1"/>
  <c r="AI15" i="94"/>
  <c r="AH15" i="94"/>
  <c r="AG15" i="94"/>
  <c r="AF15" i="94"/>
  <c r="AE15" i="94"/>
  <c r="AK15" i="94" s="1"/>
  <c r="AD15" i="94"/>
  <c r="Z15" i="94"/>
  <c r="Y15" i="94"/>
  <c r="X15" i="94"/>
  <c r="V15" i="94"/>
  <c r="AB15" i="94" s="1"/>
  <c r="S15" i="94"/>
  <c r="R15" i="94"/>
  <c r="Q15" i="94"/>
  <c r="O15" i="94"/>
  <c r="M15" i="94"/>
  <c r="E15" i="94"/>
  <c r="AR14" i="94"/>
  <c r="AQ14" i="94"/>
  <c r="AP14" i="94"/>
  <c r="AO14" i="94"/>
  <c r="AN14" i="94"/>
  <c r="AM14" i="94"/>
  <c r="AI14" i="94"/>
  <c r="AH14" i="94"/>
  <c r="AH13" i="94" s="1"/>
  <c r="AG14" i="94"/>
  <c r="AG13" i="94" s="1"/>
  <c r="AF14" i="94"/>
  <c r="AF13" i="94" s="1"/>
  <c r="AE14" i="94"/>
  <c r="AD14" i="94"/>
  <c r="Z14" i="94"/>
  <c r="Z13" i="94" s="1"/>
  <c r="Y14" i="94"/>
  <c r="X14" i="94"/>
  <c r="W14" i="94"/>
  <c r="W13" i="94" s="1"/>
  <c r="W4" i="94" s="1"/>
  <c r="V14" i="94"/>
  <c r="U14" i="94"/>
  <c r="AA14" i="94" s="1"/>
  <c r="AA13" i="94" s="1"/>
  <c r="Q14" i="94"/>
  <c r="P14" i="94"/>
  <c r="O14" i="94"/>
  <c r="O13" i="94" s="1"/>
  <c r="N14" i="94"/>
  <c r="M14" i="94"/>
  <c r="M13" i="94" s="1"/>
  <c r="L14" i="94"/>
  <c r="E14" i="94"/>
  <c r="AQ13" i="94"/>
  <c r="AP13" i="94"/>
  <c r="AO13" i="94"/>
  <c r="AM13" i="94"/>
  <c r="Y13" i="94"/>
  <c r="U13" i="94"/>
  <c r="U4" i="94" s="1"/>
  <c r="AS12" i="94"/>
  <c r="AR12" i="94"/>
  <c r="AP12" i="94"/>
  <c r="AN12" i="94"/>
  <c r="AJ12" i="94"/>
  <c r="AI12" i="94"/>
  <c r="AG12" i="94"/>
  <c r="AE12" i="94"/>
  <c r="AA12" i="94"/>
  <c r="Z12" i="94"/>
  <c r="X12" i="94"/>
  <c r="V12" i="94"/>
  <c r="R12" i="94"/>
  <c r="Q12" i="94"/>
  <c r="O12" i="94"/>
  <c r="M12" i="94"/>
  <c r="E12" i="94"/>
  <c r="F12" i="94" s="1"/>
  <c r="H12" i="94" s="1"/>
  <c r="AS11" i="94"/>
  <c r="AR11" i="94"/>
  <c r="AP11" i="94"/>
  <c r="AN11" i="94"/>
  <c r="AJ11" i="94"/>
  <c r="AI11" i="94"/>
  <c r="AG11" i="94"/>
  <c r="AE11" i="94"/>
  <c r="AA11" i="94"/>
  <c r="Z11" i="94"/>
  <c r="X11" i="94"/>
  <c r="V11" i="94"/>
  <c r="R11" i="94"/>
  <c r="AW11" i="94" s="1"/>
  <c r="Q11" i="94"/>
  <c r="O11" i="94"/>
  <c r="M11" i="94"/>
  <c r="E11" i="94"/>
  <c r="F11" i="94" s="1"/>
  <c r="H11" i="94" s="1"/>
  <c r="AS10" i="94"/>
  <c r="AR10" i="94"/>
  <c r="AP10" i="94"/>
  <c r="AN10" i="94"/>
  <c r="AJ10" i="94"/>
  <c r="AI10" i="94"/>
  <c r="AG10" i="94"/>
  <c r="AE10" i="94"/>
  <c r="AA10" i="94"/>
  <c r="Z10" i="94"/>
  <c r="X10" i="94"/>
  <c r="V10" i="94"/>
  <c r="R10" i="94"/>
  <c r="AW10" i="94" s="1"/>
  <c r="Q10" i="94"/>
  <c r="O10" i="94"/>
  <c r="M10" i="94"/>
  <c r="F10" i="94"/>
  <c r="H10" i="94" s="1"/>
  <c r="AS9" i="94"/>
  <c r="AR9" i="94"/>
  <c r="AP9" i="94"/>
  <c r="AN9" i="94"/>
  <c r="AJ9" i="94"/>
  <c r="AI9" i="94"/>
  <c r="AG9" i="94"/>
  <c r="AE9" i="94"/>
  <c r="AA9" i="94"/>
  <c r="Z9" i="94"/>
  <c r="X9" i="94"/>
  <c r="V9" i="94"/>
  <c r="R9" i="94"/>
  <c r="AW9" i="94" s="1"/>
  <c r="Q9" i="94"/>
  <c r="O9" i="94"/>
  <c r="M9" i="94"/>
  <c r="F9" i="94"/>
  <c r="H9" i="94" s="1"/>
  <c r="AR8" i="94"/>
  <c r="AQ8" i="94"/>
  <c r="AQ4" i="94" s="1"/>
  <c r="AP8" i="94"/>
  <c r="AO8" i="94"/>
  <c r="AN8" i="94"/>
  <c r="AM8" i="94"/>
  <c r="AI8" i="94"/>
  <c r="AH8" i="94"/>
  <c r="AG8" i="94"/>
  <c r="AF8" i="94"/>
  <c r="AE8" i="94"/>
  <c r="AD8" i="94"/>
  <c r="AA8" i="94"/>
  <c r="Z8" i="94"/>
  <c r="Y8" i="94"/>
  <c r="X8" i="94"/>
  <c r="V8" i="94"/>
  <c r="R8" i="94"/>
  <c r="Q8" i="94"/>
  <c r="O8" i="94"/>
  <c r="M8" i="94"/>
  <c r="E8" i="94"/>
  <c r="F8" i="94" s="1"/>
  <c r="H8" i="94" s="1"/>
  <c r="AR7" i="94"/>
  <c r="AQ7" i="94"/>
  <c r="AP7" i="94"/>
  <c r="AO7" i="94"/>
  <c r="AN7" i="94"/>
  <c r="AM7" i="94"/>
  <c r="K7" i="98" s="1"/>
  <c r="AI7" i="94"/>
  <c r="AH7" i="94"/>
  <c r="AG7" i="94"/>
  <c r="AF7" i="94"/>
  <c r="AE7" i="94"/>
  <c r="AD7" i="94"/>
  <c r="Z7" i="94"/>
  <c r="Y7" i="94"/>
  <c r="AA7" i="94" s="1"/>
  <c r="X7" i="94"/>
  <c r="V7" i="94"/>
  <c r="R7" i="94"/>
  <c r="Q7" i="94"/>
  <c r="O7" i="94"/>
  <c r="M7" i="94"/>
  <c r="E7" i="94"/>
  <c r="F7" i="94" s="1"/>
  <c r="H7" i="94" s="1"/>
  <c r="AS6" i="94"/>
  <c r="AR6" i="94"/>
  <c r="AP6" i="94"/>
  <c r="AN6" i="94"/>
  <c r="AJ6" i="94"/>
  <c r="AI6" i="94"/>
  <c r="AG6" i="94"/>
  <c r="AE6" i="94"/>
  <c r="AA6" i="94"/>
  <c r="Z6" i="94"/>
  <c r="X6" i="94"/>
  <c r="V6" i="94"/>
  <c r="R6" i="94"/>
  <c r="Q6" i="94"/>
  <c r="O6" i="94"/>
  <c r="M6" i="94"/>
  <c r="H6" i="94"/>
  <c r="E6" i="94"/>
  <c r="F6" i="94" s="1"/>
  <c r="AT5" i="94"/>
  <c r="AS5" i="94"/>
  <c r="AK5" i="94"/>
  <c r="AJ5" i="94"/>
  <c r="AL5" i="94" s="1"/>
  <c r="AB5" i="94"/>
  <c r="AA5" i="94"/>
  <c r="S5" i="94"/>
  <c r="H5" i="94"/>
  <c r="AV5" i="94" s="1"/>
  <c r="G4" i="94"/>
  <c r="AY1" i="94"/>
  <c r="C26" i="98"/>
  <c r="B26" i="98"/>
  <c r="K25" i="98"/>
  <c r="I25" i="98"/>
  <c r="G25" i="98"/>
  <c r="E25" i="98" s="1"/>
  <c r="F25" i="98" s="1"/>
  <c r="H25" i="98" s="1"/>
  <c r="D25" i="98"/>
  <c r="K24" i="98"/>
  <c r="I24" i="98" s="1"/>
  <c r="G24" i="98"/>
  <c r="E24" i="98" s="1"/>
  <c r="D24" i="98"/>
  <c r="K23" i="98"/>
  <c r="I23" i="98" s="1"/>
  <c r="G23" i="98"/>
  <c r="E23" i="98" s="1"/>
  <c r="F23" i="98" s="1"/>
  <c r="H23" i="98" s="1"/>
  <c r="D23" i="98"/>
  <c r="K22" i="98"/>
  <c r="I22" i="98" s="1"/>
  <c r="G22" i="98"/>
  <c r="E22" i="98" s="1"/>
  <c r="D22" i="98"/>
  <c r="O21" i="98"/>
  <c r="N21" i="98"/>
  <c r="K21" i="98"/>
  <c r="I21" i="98" s="1"/>
  <c r="G21" i="98"/>
  <c r="E21" i="98"/>
  <c r="D21" i="98"/>
  <c r="K20" i="98"/>
  <c r="I20" i="98" s="1"/>
  <c r="G20" i="98"/>
  <c r="E20" i="98" s="1"/>
  <c r="F20" i="98" s="1"/>
  <c r="H20" i="98" s="1"/>
  <c r="D20" i="98"/>
  <c r="K19" i="98"/>
  <c r="I19" i="98" s="1"/>
  <c r="G19" i="98"/>
  <c r="E19" i="98" s="1"/>
  <c r="F19" i="98" s="1"/>
  <c r="H19" i="98" s="1"/>
  <c r="D19" i="98"/>
  <c r="K18" i="98"/>
  <c r="I18" i="98" s="1"/>
  <c r="G18" i="98"/>
  <c r="E18" i="98" s="1"/>
  <c r="D18" i="98"/>
  <c r="K17" i="98"/>
  <c r="I17" i="98" s="1"/>
  <c r="G17" i="98"/>
  <c r="E17" i="98" s="1"/>
  <c r="D17" i="98"/>
  <c r="K16" i="98"/>
  <c r="I16" i="98" s="1"/>
  <c r="I26" i="98" s="1"/>
  <c r="G16" i="98"/>
  <c r="G26" i="98" s="1"/>
  <c r="D16" i="98"/>
  <c r="K12" i="98"/>
  <c r="G12" i="98"/>
  <c r="I12" i="98" s="1"/>
  <c r="E12" i="98"/>
  <c r="D12" i="98"/>
  <c r="F12" i="98" s="1"/>
  <c r="H12" i="98" s="1"/>
  <c r="J12" i="98" s="1"/>
  <c r="L12" i="98" s="1"/>
  <c r="K11" i="98"/>
  <c r="G11" i="98"/>
  <c r="I11" i="98" s="1"/>
  <c r="E11" i="98"/>
  <c r="E13" i="98" s="1"/>
  <c r="B11" i="98"/>
  <c r="D11" i="98" s="1"/>
  <c r="F11" i="98" s="1"/>
  <c r="K10" i="98"/>
  <c r="G10" i="98"/>
  <c r="D10" i="98"/>
  <c r="F10" i="98" s="1"/>
  <c r="H10" i="98" s="1"/>
  <c r="J10" i="98" s="1"/>
  <c r="L10" i="98" s="1"/>
  <c r="D9" i="98"/>
  <c r="F9" i="98" s="1"/>
  <c r="H9" i="98" s="1"/>
  <c r="J9" i="98" s="1"/>
  <c r="L9" i="98" s="1"/>
  <c r="G8" i="98"/>
  <c r="E8" i="98"/>
  <c r="B8" i="98"/>
  <c r="F7" i="98"/>
  <c r="E7" i="98"/>
  <c r="D7" i="98"/>
  <c r="K6" i="98"/>
  <c r="G6" i="98"/>
  <c r="E6" i="98"/>
  <c r="D6" i="98"/>
  <c r="F6" i="98" s="1"/>
  <c r="H6" i="98" s="1"/>
  <c r="J6" i="98" s="1"/>
  <c r="L6" i="98" s="1"/>
  <c r="I5" i="98"/>
  <c r="E5" i="98"/>
  <c r="B5" i="98"/>
  <c r="E3" i="98"/>
  <c r="H25" i="100"/>
  <c r="C25" i="100"/>
  <c r="H11" i="100"/>
  <c r="C11" i="100"/>
  <c r="L28" i="82"/>
  <c r="H28" i="82"/>
  <c r="D28" i="82"/>
  <c r="L27" i="82"/>
  <c r="D27" i="82"/>
  <c r="L26" i="82"/>
  <c r="D26" i="82"/>
  <c r="E25" i="82"/>
  <c r="H25" i="82" s="1"/>
  <c r="D25" i="82"/>
  <c r="L24" i="82"/>
  <c r="K24" i="82"/>
  <c r="J24" i="82"/>
  <c r="J22" i="82" s="1"/>
  <c r="H24" i="82"/>
  <c r="M24" i="82" s="1"/>
  <c r="E24" i="82"/>
  <c r="D24" i="82"/>
  <c r="K23" i="82"/>
  <c r="J23" i="82"/>
  <c r="C23" i="82"/>
  <c r="D23" i="82" s="1"/>
  <c r="E23" i="82" s="1"/>
  <c r="K22" i="82"/>
  <c r="I22" i="82"/>
  <c r="F22" i="82"/>
  <c r="B22" i="82"/>
  <c r="H21" i="82"/>
  <c r="H20" i="82"/>
  <c r="H19" i="82"/>
  <c r="H18" i="82"/>
  <c r="I17" i="82"/>
  <c r="L17" i="82" s="1"/>
  <c r="L16" i="82" s="1"/>
  <c r="E17" i="82"/>
  <c r="H17" i="82" s="1"/>
  <c r="D17" i="82"/>
  <c r="K16" i="82"/>
  <c r="J16" i="82"/>
  <c r="E16" i="82"/>
  <c r="H16" i="82" s="1"/>
  <c r="C16" i="82"/>
  <c r="B16" i="82"/>
  <c r="D16" i="82" s="1"/>
  <c r="E15" i="82"/>
  <c r="H15" i="82" s="1"/>
  <c r="D15" i="82"/>
  <c r="I14" i="82"/>
  <c r="E14" i="82"/>
  <c r="H14" i="82" s="1"/>
  <c r="C14" i="82"/>
  <c r="B14" i="82"/>
  <c r="D14" i="82" s="1"/>
  <c r="K13" i="82"/>
  <c r="J13" i="82"/>
  <c r="I13" i="82"/>
  <c r="E13" i="82"/>
  <c r="H13" i="82" s="1"/>
  <c r="C13" i="82"/>
  <c r="B13" i="82"/>
  <c r="D13" i="82" s="1"/>
  <c r="K12" i="82"/>
  <c r="J12" i="82"/>
  <c r="I12" i="82"/>
  <c r="L12" i="82" s="1"/>
  <c r="E12" i="82"/>
  <c r="H12" i="82" s="1"/>
  <c r="C12" i="82"/>
  <c r="B12" i="82"/>
  <c r="I11" i="82"/>
  <c r="E11" i="82"/>
  <c r="H11" i="82" s="1"/>
  <c r="D11" i="82"/>
  <c r="C11" i="82"/>
  <c r="B11" i="82"/>
  <c r="I10" i="82"/>
  <c r="E10" i="82"/>
  <c r="H10" i="82" s="1"/>
  <c r="C10" i="82"/>
  <c r="B10" i="82"/>
  <c r="F9" i="82"/>
  <c r="I8" i="82"/>
  <c r="F8" i="82"/>
  <c r="E8" i="82"/>
  <c r="C8" i="82"/>
  <c r="B8" i="82"/>
  <c r="N2" i="82"/>
  <c r="N56" i="83"/>
  <c r="N55" i="83"/>
  <c r="L54" i="83"/>
  <c r="N54" i="83" s="1"/>
  <c r="N53" i="83"/>
  <c r="N52" i="83"/>
  <c r="K51" i="83"/>
  <c r="N50" i="83"/>
  <c r="G49" i="83"/>
  <c r="N49" i="83" s="1"/>
  <c r="D49" i="83"/>
  <c r="N48" i="83"/>
  <c r="D48" i="83" s="1"/>
  <c r="L47" i="83"/>
  <c r="H47" i="83"/>
  <c r="E47" i="83"/>
  <c r="E45" i="83" s="1"/>
  <c r="E57" i="83" s="1"/>
  <c r="L46" i="83"/>
  <c r="E46" i="83"/>
  <c r="D46" i="83"/>
  <c r="M45" i="83"/>
  <c r="J45" i="83"/>
  <c r="I45" i="83"/>
  <c r="H45" i="83"/>
  <c r="F45" i="83"/>
  <c r="L44" i="83"/>
  <c r="N44" i="83" s="1"/>
  <c r="L43" i="83"/>
  <c r="N43" i="83" s="1"/>
  <c r="N42" i="83"/>
  <c r="L41" i="83"/>
  <c r="G41" i="83"/>
  <c r="N41" i="83" s="1"/>
  <c r="L40" i="83"/>
  <c r="N40" i="83" s="1"/>
  <c r="L39" i="83"/>
  <c r="N39" i="83" s="1"/>
  <c r="L38" i="83"/>
  <c r="M37" i="83"/>
  <c r="K37" i="83"/>
  <c r="J37" i="83"/>
  <c r="I37" i="83"/>
  <c r="H37" i="83"/>
  <c r="F37" i="83"/>
  <c r="E37" i="83"/>
  <c r="D37" i="83"/>
  <c r="G36" i="83"/>
  <c r="N36" i="83" s="1"/>
  <c r="L35" i="83"/>
  <c r="H35" i="83"/>
  <c r="L34" i="83"/>
  <c r="N34" i="83" s="1"/>
  <c r="N33" i="83"/>
  <c r="L32" i="83"/>
  <c r="N32" i="83" s="1"/>
  <c r="L31" i="83"/>
  <c r="N31" i="83" s="1"/>
  <c r="L30" i="83"/>
  <c r="N30" i="83" s="1"/>
  <c r="E30" i="83"/>
  <c r="M29" i="83"/>
  <c r="K29" i="83"/>
  <c r="J29" i="83"/>
  <c r="I29" i="83"/>
  <c r="G29" i="83"/>
  <c r="G22" i="83" s="1"/>
  <c r="F29" i="83"/>
  <c r="E29" i="83"/>
  <c r="L28" i="83"/>
  <c r="N28" i="83" s="1"/>
  <c r="D28" i="83" s="1"/>
  <c r="Q27" i="83"/>
  <c r="L27" i="83"/>
  <c r="N27" i="83" s="1"/>
  <c r="D27" i="83" s="1"/>
  <c r="R27" i="83" s="1"/>
  <c r="L26" i="83"/>
  <c r="E26" i="83"/>
  <c r="E23" i="83" s="1"/>
  <c r="E22" i="83" s="1"/>
  <c r="N25" i="83"/>
  <c r="O24" i="83"/>
  <c r="N24" i="83"/>
  <c r="F24" i="83"/>
  <c r="M23" i="83"/>
  <c r="M22" i="83" s="1"/>
  <c r="K23" i="83"/>
  <c r="K22" i="83" s="1"/>
  <c r="J23" i="83"/>
  <c r="I23" i="83"/>
  <c r="I22" i="83" s="1"/>
  <c r="H23" i="83"/>
  <c r="G23" i="83"/>
  <c r="F23" i="83"/>
  <c r="F22" i="83" s="1"/>
  <c r="N14" i="83"/>
  <c r="E12" i="83"/>
  <c r="N8" i="83"/>
  <c r="M7" i="83"/>
  <c r="F7" i="83"/>
  <c r="N6" i="83"/>
  <c r="E6" i="83"/>
  <c r="E10" i="83" s="1"/>
  <c r="U60" i="84"/>
  <c r="S60" i="84"/>
  <c r="N60" i="84"/>
  <c r="W60" i="84" s="1"/>
  <c r="X60" i="84" s="1"/>
  <c r="M60" i="84"/>
  <c r="U59" i="84"/>
  <c r="S59" i="84"/>
  <c r="N59" i="84"/>
  <c r="W59" i="84" s="1"/>
  <c r="M59" i="84"/>
  <c r="D59" i="84"/>
  <c r="U58" i="84"/>
  <c r="S58" i="84"/>
  <c r="L58" i="84"/>
  <c r="U57" i="84"/>
  <c r="S57" i="84"/>
  <c r="N57" i="84"/>
  <c r="W57" i="84" s="1"/>
  <c r="X57" i="84" s="1"/>
  <c r="M57" i="84"/>
  <c r="L57" i="84"/>
  <c r="U56" i="84"/>
  <c r="S56" i="84"/>
  <c r="L56" i="84"/>
  <c r="N56" i="84" s="1"/>
  <c r="W56" i="84" s="1"/>
  <c r="X56" i="84" s="1"/>
  <c r="U55" i="84"/>
  <c r="S55" i="84"/>
  <c r="L55" i="84"/>
  <c r="K55" i="84"/>
  <c r="U54" i="84"/>
  <c r="S54" i="84"/>
  <c r="L54" i="84"/>
  <c r="N54" i="84" s="1"/>
  <c r="W54" i="84" s="1"/>
  <c r="X54" i="84" s="1"/>
  <c r="U53" i="84"/>
  <c r="S53" i="84"/>
  <c r="M53" i="84"/>
  <c r="L53" i="84"/>
  <c r="G53" i="84"/>
  <c r="N53" i="84" s="1"/>
  <c r="W53" i="84" s="1"/>
  <c r="D53" i="84"/>
  <c r="U52" i="84"/>
  <c r="S52" i="84"/>
  <c r="N52" i="84"/>
  <c r="W52" i="84" s="1"/>
  <c r="M52" i="84"/>
  <c r="U51" i="84"/>
  <c r="Q51" i="84"/>
  <c r="O51" i="84"/>
  <c r="O49" i="84" s="1"/>
  <c r="L51" i="84"/>
  <c r="K51" i="84"/>
  <c r="K49" i="84" s="1"/>
  <c r="J51" i="84"/>
  <c r="H51" i="84"/>
  <c r="E51" i="84"/>
  <c r="U50" i="84"/>
  <c r="N50" i="84"/>
  <c r="L50" i="84"/>
  <c r="M50" i="84" s="1"/>
  <c r="E50" i="84"/>
  <c r="S50" i="84" s="1"/>
  <c r="D50" i="84"/>
  <c r="Q49" i="84"/>
  <c r="P49" i="84"/>
  <c r="I49" i="84"/>
  <c r="H49" i="84"/>
  <c r="G49" i="84"/>
  <c r="E49" i="84"/>
  <c r="U48" i="84"/>
  <c r="S48" i="84"/>
  <c r="T48" i="84" s="1"/>
  <c r="N48" i="84"/>
  <c r="L48" i="84"/>
  <c r="M48" i="84" s="1"/>
  <c r="F48" i="84"/>
  <c r="U47" i="84"/>
  <c r="T47" i="84"/>
  <c r="S47" i="84"/>
  <c r="L47" i="84"/>
  <c r="N47" i="84" s="1"/>
  <c r="F47" i="84"/>
  <c r="U46" i="84"/>
  <c r="S46" i="84"/>
  <c r="T46" i="84" s="1"/>
  <c r="N46" i="84"/>
  <c r="M46" i="84"/>
  <c r="U45" i="84"/>
  <c r="S45" i="84"/>
  <c r="T45" i="84" s="1"/>
  <c r="L45" i="84"/>
  <c r="G45" i="84"/>
  <c r="F45" i="84"/>
  <c r="U44" i="84"/>
  <c r="T44" i="84"/>
  <c r="S44" i="84"/>
  <c r="L44" i="84"/>
  <c r="N44" i="84" s="1"/>
  <c r="U43" i="84"/>
  <c r="S43" i="84"/>
  <c r="L43" i="84"/>
  <c r="N43" i="84" s="1"/>
  <c r="U42" i="84"/>
  <c r="S42" i="84"/>
  <c r="T42" i="84" s="1"/>
  <c r="L42" i="84"/>
  <c r="Q41" i="84"/>
  <c r="P41" i="84"/>
  <c r="O41" i="84"/>
  <c r="K41" i="84"/>
  <c r="J41" i="84"/>
  <c r="I41" i="84"/>
  <c r="H41" i="84"/>
  <c r="G41" i="84"/>
  <c r="E41" i="84"/>
  <c r="D41" i="84"/>
  <c r="U40" i="84"/>
  <c r="S40" i="84"/>
  <c r="K40" i="84"/>
  <c r="G40" i="84"/>
  <c r="N40" i="84" s="1"/>
  <c r="F40" i="84"/>
  <c r="V40" i="84" s="1"/>
  <c r="D40" i="84"/>
  <c r="D51" i="84" s="1"/>
  <c r="U39" i="84"/>
  <c r="S39" i="84"/>
  <c r="T39" i="84" s="1"/>
  <c r="J39" i="84"/>
  <c r="M39" i="84" s="1"/>
  <c r="H39" i="84"/>
  <c r="N39" i="84" s="1"/>
  <c r="F39" i="84"/>
  <c r="U38" i="84"/>
  <c r="S38" i="84"/>
  <c r="T38" i="84" s="1"/>
  <c r="M38" i="84"/>
  <c r="L38" i="84"/>
  <c r="N38" i="84" s="1"/>
  <c r="U37" i="84"/>
  <c r="S37" i="84"/>
  <c r="N37" i="84"/>
  <c r="M37" i="84"/>
  <c r="D37" i="84"/>
  <c r="U36" i="84"/>
  <c r="T36" i="84"/>
  <c r="S36" i="84"/>
  <c r="L36" i="84"/>
  <c r="M36" i="84" s="1"/>
  <c r="U35" i="84"/>
  <c r="T35" i="84"/>
  <c r="S35" i="84"/>
  <c r="L35" i="84"/>
  <c r="M35" i="84" s="1"/>
  <c r="U34" i="84"/>
  <c r="N34" i="84"/>
  <c r="L34" i="84"/>
  <c r="M34" i="84" s="1"/>
  <c r="F34" i="84"/>
  <c r="E34" i="84"/>
  <c r="S34" i="84" s="1"/>
  <c r="R33" i="84"/>
  <c r="Q33" i="84"/>
  <c r="P33" i="84"/>
  <c r="O33" i="84"/>
  <c r="J33" i="84"/>
  <c r="I33" i="84"/>
  <c r="E33" i="84"/>
  <c r="U32" i="84"/>
  <c r="L32" i="84"/>
  <c r="N32" i="84" s="1"/>
  <c r="N27" i="84" s="1"/>
  <c r="E32" i="84"/>
  <c r="S32" i="84" s="1"/>
  <c r="U31" i="84"/>
  <c r="S31" i="84"/>
  <c r="N31" i="84"/>
  <c r="M31" i="84"/>
  <c r="L31" i="84"/>
  <c r="E31" i="84"/>
  <c r="U30" i="84"/>
  <c r="S30" i="84"/>
  <c r="N30" i="84"/>
  <c r="D30" i="84" s="1"/>
  <c r="M30" i="84"/>
  <c r="L30" i="84"/>
  <c r="U29" i="84"/>
  <c r="S29" i="84"/>
  <c r="T29" i="84" s="1"/>
  <c r="N29" i="84"/>
  <c r="M29" i="84"/>
  <c r="O28" i="84"/>
  <c r="S28" i="84" s="1"/>
  <c r="N28" i="84"/>
  <c r="M28" i="84"/>
  <c r="R27" i="84"/>
  <c r="Q27" i="84"/>
  <c r="Q26" i="84" s="1"/>
  <c r="P27" i="84"/>
  <c r="P26" i="84" s="1"/>
  <c r="K27" i="84"/>
  <c r="J27" i="84"/>
  <c r="I27" i="84"/>
  <c r="I26" i="84" s="1"/>
  <c r="H27" i="84"/>
  <c r="G27" i="84"/>
  <c r="E27" i="84"/>
  <c r="E26" i="84" s="1"/>
  <c r="N14" i="84"/>
  <c r="F12" i="84"/>
  <c r="E10" i="84"/>
  <c r="N8" i="84"/>
  <c r="M7" i="84"/>
  <c r="F7" i="84"/>
  <c r="N6" i="84"/>
  <c r="E6" i="84"/>
  <c r="D10" i="97"/>
  <c r="D9" i="97"/>
  <c r="D8" i="97"/>
  <c r="D14" i="97" s="1"/>
  <c r="D7" i="97"/>
  <c r="D6" i="97"/>
  <c r="E11" i="96"/>
  <c r="D11" i="96"/>
  <c r="K40" i="87"/>
  <c r="G33" i="90"/>
  <c r="AE33" i="90" s="1"/>
  <c r="P32" i="90"/>
  <c r="AE32" i="90" s="1"/>
  <c r="AA31" i="90"/>
  <c r="AE31" i="90" s="1"/>
  <c r="AE30" i="90"/>
  <c r="T30" i="90"/>
  <c r="X29" i="90"/>
  <c r="S29" i="90"/>
  <c r="T29" i="90" s="1"/>
  <c r="P29" i="90"/>
  <c r="M29" i="90"/>
  <c r="AE29" i="90" s="1"/>
  <c r="K29" i="90"/>
  <c r="W27" i="90"/>
  <c r="W26" i="90" s="1"/>
  <c r="X26" i="90" s="1"/>
  <c r="T27" i="90"/>
  <c r="S27" i="90"/>
  <c r="M27" i="90"/>
  <c r="G27" i="90"/>
  <c r="F27" i="90"/>
  <c r="AC26" i="90"/>
  <c r="AB26" i="90"/>
  <c r="Z26" i="90"/>
  <c r="Y26" i="90"/>
  <c r="V26" i="90"/>
  <c r="S26" i="90"/>
  <c r="R26" i="90"/>
  <c r="O26" i="90"/>
  <c r="N26" i="90"/>
  <c r="L26" i="90"/>
  <c r="M26" i="90" s="1"/>
  <c r="K26" i="90"/>
  <c r="I26" i="90"/>
  <c r="H26" i="90"/>
  <c r="F26" i="90"/>
  <c r="G26" i="90" s="1"/>
  <c r="E26" i="90"/>
  <c r="D26" i="90"/>
  <c r="C26" i="90"/>
  <c r="B26" i="90"/>
  <c r="AD25" i="90"/>
  <c r="AA25" i="90"/>
  <c r="P25" i="90"/>
  <c r="M25" i="90"/>
  <c r="J25" i="90"/>
  <c r="G25" i="90"/>
  <c r="AE24" i="90"/>
  <c r="AE23" i="90"/>
  <c r="AE22" i="90"/>
  <c r="AD21" i="90"/>
  <c r="AA21" i="90"/>
  <c r="P21" i="90"/>
  <c r="M21" i="90"/>
  <c r="J21" i="90"/>
  <c r="G21" i="90"/>
  <c r="C21" i="90"/>
  <c r="AC20" i="90"/>
  <c r="AB20" i="90"/>
  <c r="AD20" i="90" s="1"/>
  <c r="Z20" i="90"/>
  <c r="Y20" i="90"/>
  <c r="Y6" i="90" s="1"/>
  <c r="Y5" i="90" s="1"/>
  <c r="W20" i="90"/>
  <c r="V20" i="90"/>
  <c r="S20" i="90"/>
  <c r="R20" i="90"/>
  <c r="P20" i="90"/>
  <c r="O20" i="90"/>
  <c r="N20" i="90"/>
  <c r="L20" i="90"/>
  <c r="K20" i="90"/>
  <c r="J20" i="90"/>
  <c r="I20" i="90"/>
  <c r="H20" i="90"/>
  <c r="F20" i="90"/>
  <c r="E20" i="90"/>
  <c r="G20" i="90" s="1"/>
  <c r="D20" i="90"/>
  <c r="C20" i="90"/>
  <c r="B20" i="90"/>
  <c r="AD19" i="90"/>
  <c r="AA19" i="90"/>
  <c r="P19" i="90"/>
  <c r="J19" i="90"/>
  <c r="G19" i="90"/>
  <c r="AE19" i="90" s="1"/>
  <c r="AA18" i="90"/>
  <c r="AE18" i="90" s="1"/>
  <c r="AE17" i="90"/>
  <c r="AA17" i="90"/>
  <c r="AA16" i="90"/>
  <c r="AE16" i="90" s="1"/>
  <c r="AA15" i="90"/>
  <c r="AE15" i="90" s="1"/>
  <c r="AE14" i="90"/>
  <c r="AE13" i="90"/>
  <c r="AA12" i="90"/>
  <c r="N12" i="90"/>
  <c r="P12" i="90" s="1"/>
  <c r="J12" i="90"/>
  <c r="G12" i="90"/>
  <c r="AD11" i="90"/>
  <c r="AC11" i="90"/>
  <c r="AB11" i="90"/>
  <c r="Z11" i="90"/>
  <c r="Y11" i="90"/>
  <c r="W11" i="90"/>
  <c r="V11" i="90"/>
  <c r="S11" i="90"/>
  <c r="R11" i="90"/>
  <c r="O11" i="90"/>
  <c r="N11" i="90"/>
  <c r="P11" i="90" s="1"/>
  <c r="L11" i="90"/>
  <c r="K11" i="90"/>
  <c r="I11" i="90"/>
  <c r="H11" i="90"/>
  <c r="J11" i="90" s="1"/>
  <c r="F11" i="90"/>
  <c r="E11" i="90"/>
  <c r="D11" i="90"/>
  <c r="C11" i="90"/>
  <c r="B11" i="90"/>
  <c r="AA10" i="90"/>
  <c r="AE10" i="90" s="1"/>
  <c r="AC9" i="90"/>
  <c r="AC7" i="90" s="1"/>
  <c r="AC6" i="90" s="1"/>
  <c r="AC5" i="90" s="1"/>
  <c r="AB9" i="90"/>
  <c r="AA9" i="90"/>
  <c r="AD8" i="90"/>
  <c r="AA8" i="90"/>
  <c r="L8" i="90"/>
  <c r="K8" i="90"/>
  <c r="K7" i="90" s="1"/>
  <c r="J8" i="90"/>
  <c r="AB7" i="90"/>
  <c r="AD7" i="90" s="1"/>
  <c r="Z7" i="90"/>
  <c r="Y7" i="90"/>
  <c r="AA7" i="90" s="1"/>
  <c r="W7" i="90"/>
  <c r="V7" i="90"/>
  <c r="S7" i="90"/>
  <c r="R7" i="90"/>
  <c r="R6" i="90" s="1"/>
  <c r="R5" i="90" s="1"/>
  <c r="T5" i="90" s="1"/>
  <c r="R34" i="90" s="1"/>
  <c r="O7" i="90"/>
  <c r="O6" i="90" s="1"/>
  <c r="O5" i="90" s="1"/>
  <c r="N7" i="90"/>
  <c r="N6" i="90" s="1"/>
  <c r="N5" i="90" s="1"/>
  <c r="L7" i="90"/>
  <c r="I7" i="90"/>
  <c r="H7" i="90"/>
  <c r="F7" i="90"/>
  <c r="E7" i="90"/>
  <c r="D7" i="90"/>
  <c r="C7" i="90"/>
  <c r="B7" i="90"/>
  <c r="B6" i="90" s="1"/>
  <c r="B5" i="90" s="1"/>
  <c r="B34" i="90" s="1"/>
  <c r="W6" i="90"/>
  <c r="W5" i="90" s="1"/>
  <c r="S6" i="90"/>
  <c r="F6" i="90"/>
  <c r="F5" i="90" s="1"/>
  <c r="D6" i="90"/>
  <c r="D5" i="90" s="1"/>
  <c r="D34" i="90" s="1"/>
  <c r="S5" i="90"/>
  <c r="M64" i="89"/>
  <c r="R64" i="89" s="1"/>
  <c r="Q60" i="89"/>
  <c r="W60" i="89" s="1"/>
  <c r="M60" i="89"/>
  <c r="K60" i="89"/>
  <c r="N60" i="89" s="1"/>
  <c r="Y60" i="89" s="1"/>
  <c r="D60" i="89"/>
  <c r="Q59" i="89"/>
  <c r="W59" i="89" s="1"/>
  <c r="K59" i="89"/>
  <c r="M59" i="89" s="1"/>
  <c r="J59" i="89"/>
  <c r="N59" i="89" s="1"/>
  <c r="Y59" i="89" s="1"/>
  <c r="D59" i="89"/>
  <c r="Q58" i="89"/>
  <c r="W58" i="89" s="1"/>
  <c r="L58" i="89"/>
  <c r="M58" i="89" s="1"/>
  <c r="J58" i="89"/>
  <c r="N58" i="89" s="1"/>
  <c r="Y58" i="89" s="1"/>
  <c r="D58" i="89"/>
  <c r="Q57" i="89"/>
  <c r="W57" i="89" s="1"/>
  <c r="M57" i="89"/>
  <c r="J57" i="89"/>
  <c r="J49" i="89" s="1"/>
  <c r="D57" i="89"/>
  <c r="Q56" i="89"/>
  <c r="W56" i="89" s="1"/>
  <c r="L56" i="89"/>
  <c r="K56" i="89"/>
  <c r="M56" i="89" s="1"/>
  <c r="J56" i="89"/>
  <c r="N56" i="89" s="1"/>
  <c r="Y56" i="89" s="1"/>
  <c r="D56" i="89"/>
  <c r="Q55" i="89"/>
  <c r="W55" i="89" s="1"/>
  <c r="N55" i="89"/>
  <c r="Y55" i="89" s="1"/>
  <c r="M55" i="89"/>
  <c r="D55" i="89"/>
  <c r="Q54" i="89"/>
  <c r="W54" i="89" s="1"/>
  <c r="N54" i="89"/>
  <c r="Y54" i="89" s="1"/>
  <c r="M54" i="89"/>
  <c r="D54" i="89"/>
  <c r="Q53" i="89"/>
  <c r="W53" i="89" s="1"/>
  <c r="M53" i="89"/>
  <c r="G53" i="89"/>
  <c r="N53" i="89" s="1"/>
  <c r="Y53" i="89" s="1"/>
  <c r="D53" i="89"/>
  <c r="Q52" i="89"/>
  <c r="W52" i="89" s="1"/>
  <c r="M52" i="89"/>
  <c r="L52" i="89"/>
  <c r="N52" i="89" s="1"/>
  <c r="Y52" i="89" s="1"/>
  <c r="D52" i="89"/>
  <c r="Q51" i="89"/>
  <c r="O51" i="89"/>
  <c r="W51" i="89" s="1"/>
  <c r="K51" i="89"/>
  <c r="M51" i="89" s="1"/>
  <c r="AC51" i="89" s="1"/>
  <c r="H51" i="89"/>
  <c r="N51" i="89" s="1"/>
  <c r="Y51" i="89" s="1"/>
  <c r="E51" i="89"/>
  <c r="W50" i="89"/>
  <c r="K50" i="89"/>
  <c r="E50" i="89"/>
  <c r="D50" i="89"/>
  <c r="X49" i="89"/>
  <c r="R49" i="89"/>
  <c r="P49" i="89"/>
  <c r="O49" i="89"/>
  <c r="I49" i="89"/>
  <c r="G49" i="89"/>
  <c r="E49" i="89"/>
  <c r="W48" i="89"/>
  <c r="T48" i="89"/>
  <c r="U48" i="89" s="1"/>
  <c r="L48" i="89"/>
  <c r="N48" i="89" s="1"/>
  <c r="W47" i="89"/>
  <c r="T47" i="89"/>
  <c r="U47" i="89" s="1"/>
  <c r="N47" i="89"/>
  <c r="M47" i="89"/>
  <c r="L47" i="89"/>
  <c r="W46" i="89"/>
  <c r="T46" i="89"/>
  <c r="U46" i="89" s="1"/>
  <c r="N46" i="89"/>
  <c r="M46" i="89"/>
  <c r="W45" i="89"/>
  <c r="U45" i="89"/>
  <c r="T45" i="89"/>
  <c r="L45" i="89"/>
  <c r="M45" i="89" s="1"/>
  <c r="G45" i="89"/>
  <c r="G41" i="89" s="1"/>
  <c r="F45" i="89"/>
  <c r="W44" i="89"/>
  <c r="T44" i="89"/>
  <c r="U44" i="89" s="1"/>
  <c r="L44" i="89"/>
  <c r="N44" i="89" s="1"/>
  <c r="W43" i="89"/>
  <c r="T43" i="89"/>
  <c r="U43" i="89" s="1"/>
  <c r="L43" i="89"/>
  <c r="N43" i="89" s="1"/>
  <c r="W42" i="89"/>
  <c r="T42" i="89"/>
  <c r="U42" i="89" s="1"/>
  <c r="L42" i="89"/>
  <c r="L41" i="89" s="1"/>
  <c r="R41" i="89"/>
  <c r="Q41" i="89"/>
  <c r="P41" i="89"/>
  <c r="O41" i="89"/>
  <c r="K41" i="89"/>
  <c r="J41" i="89"/>
  <c r="I41" i="89"/>
  <c r="H41" i="89"/>
  <c r="E41" i="89"/>
  <c r="D41" i="89"/>
  <c r="W40" i="89"/>
  <c r="T40" i="89"/>
  <c r="K40" i="89"/>
  <c r="J40" i="89"/>
  <c r="G40" i="89"/>
  <c r="F40" i="89"/>
  <c r="D40" i="89"/>
  <c r="X39" i="89"/>
  <c r="W39" i="89"/>
  <c r="N39" i="89"/>
  <c r="M39" i="89"/>
  <c r="H39" i="89"/>
  <c r="D39" i="89"/>
  <c r="D51" i="89" s="1"/>
  <c r="W38" i="89"/>
  <c r="R38" i="89"/>
  <c r="T38" i="89" s="1"/>
  <c r="U38" i="89" s="1"/>
  <c r="N38" i="89"/>
  <c r="L38" i="89"/>
  <c r="M38" i="89" s="1"/>
  <c r="F38" i="89"/>
  <c r="W37" i="89"/>
  <c r="T37" i="89"/>
  <c r="U37" i="89" s="1"/>
  <c r="N37" i="89"/>
  <c r="M37" i="89"/>
  <c r="D37" i="89"/>
  <c r="W36" i="89"/>
  <c r="T36" i="89"/>
  <c r="U36" i="89" s="1"/>
  <c r="L36" i="89"/>
  <c r="N36" i="89" s="1"/>
  <c r="F36" i="89"/>
  <c r="W35" i="89"/>
  <c r="T35" i="89"/>
  <c r="U35" i="89" s="1"/>
  <c r="L35" i="89"/>
  <c r="M35" i="89" s="1"/>
  <c r="W34" i="89"/>
  <c r="L34" i="89"/>
  <c r="L33" i="89" s="1"/>
  <c r="E34" i="89"/>
  <c r="E33" i="89" s="1"/>
  <c r="D34" i="89"/>
  <c r="S33" i="89"/>
  <c r="Q33" i="89"/>
  <c r="P33" i="89"/>
  <c r="O33" i="89"/>
  <c r="K33" i="89"/>
  <c r="J33" i="89"/>
  <c r="J26" i="89" s="1"/>
  <c r="I33" i="89"/>
  <c r="H33" i="89"/>
  <c r="G33" i="89"/>
  <c r="W32" i="89"/>
  <c r="R32" i="89"/>
  <c r="N32" i="89"/>
  <c r="M32" i="89"/>
  <c r="L32" i="89"/>
  <c r="E32" i="89"/>
  <c r="T32" i="89" s="1"/>
  <c r="W31" i="89"/>
  <c r="L31" i="89"/>
  <c r="M31" i="89" s="1"/>
  <c r="E31" i="89"/>
  <c r="T31" i="89" s="1"/>
  <c r="W30" i="89"/>
  <c r="T30" i="89"/>
  <c r="L30" i="89"/>
  <c r="M30" i="89" s="1"/>
  <c r="F30" i="89"/>
  <c r="D30" i="89"/>
  <c r="W29" i="89"/>
  <c r="T29" i="89"/>
  <c r="U29" i="89" s="1"/>
  <c r="N29" i="89"/>
  <c r="M29" i="89"/>
  <c r="O28" i="89"/>
  <c r="W28" i="89" s="1"/>
  <c r="N28" i="89"/>
  <c r="M28" i="89"/>
  <c r="S27" i="89"/>
  <c r="R27" i="89"/>
  <c r="Q27" i="89"/>
  <c r="Q26" i="89" s="1"/>
  <c r="P27" i="89"/>
  <c r="L27" i="89"/>
  <c r="K27" i="89"/>
  <c r="J27" i="89"/>
  <c r="I27" i="89"/>
  <c r="H27" i="89"/>
  <c r="H26" i="89" s="1"/>
  <c r="G27" i="89"/>
  <c r="E27" i="89"/>
  <c r="P26" i="89"/>
  <c r="I26" i="89"/>
  <c r="N14" i="89"/>
  <c r="F12" i="89"/>
  <c r="N8" i="89"/>
  <c r="M7" i="89"/>
  <c r="F7" i="89"/>
  <c r="N6" i="89"/>
  <c r="M9" i="89" s="1"/>
  <c r="S13" i="89" s="1"/>
  <c r="E6" i="89"/>
  <c r="AT27" i="88"/>
  <c r="AU27" i="88" s="1"/>
  <c r="AP27" i="88"/>
  <c r="AQ27" i="88" s="1"/>
  <c r="AH27" i="88"/>
  <c r="Y27" i="88"/>
  <c r="Z27" i="88" s="1"/>
  <c r="BB26" i="88"/>
  <c r="BA26" i="88"/>
  <c r="AZ26" i="88"/>
  <c r="AX26" i="88"/>
  <c r="AW26" i="88"/>
  <c r="AV26" i="88"/>
  <c r="AS26" i="88"/>
  <c r="AR26" i="88"/>
  <c r="AP26" i="88"/>
  <c r="AQ26" i="88" s="1"/>
  <c r="AO26" i="88"/>
  <c r="AN26" i="88"/>
  <c r="AK26" i="88"/>
  <c r="AJ26" i="88"/>
  <c r="AI26" i="88"/>
  <c r="AG26" i="88"/>
  <c r="AF26" i="88"/>
  <c r="AE26" i="88"/>
  <c r="AC26" i="88"/>
  <c r="AB26" i="88"/>
  <c r="AA26" i="88"/>
  <c r="Y26" i="88"/>
  <c r="X26" i="88"/>
  <c r="W26" i="88"/>
  <c r="U26" i="88"/>
  <c r="T26" i="88"/>
  <c r="S26" i="88"/>
  <c r="Q26" i="88"/>
  <c r="P26" i="88"/>
  <c r="O26" i="88"/>
  <c r="M26" i="88"/>
  <c r="L26" i="88"/>
  <c r="K26" i="88"/>
  <c r="J26" i="88"/>
  <c r="I26" i="88"/>
  <c r="H26" i="88"/>
  <c r="G26" i="88"/>
  <c r="F26" i="88"/>
  <c r="E26" i="88"/>
  <c r="D26" i="88"/>
  <c r="C26" i="88"/>
  <c r="B26" i="88"/>
  <c r="BC25" i="88"/>
  <c r="AY25" i="88"/>
  <c r="AJ25" i="88"/>
  <c r="AL25" i="88" s="1"/>
  <c r="AH25" i="88"/>
  <c r="AD25" i="88"/>
  <c r="Z25" i="88"/>
  <c r="V25" i="88"/>
  <c r="R25" i="88"/>
  <c r="N25" i="88"/>
  <c r="BD24" i="88"/>
  <c r="BD23" i="88"/>
  <c r="R22" i="88"/>
  <c r="BD22" i="88" s="1"/>
  <c r="BC21" i="88"/>
  <c r="AY21" i="88"/>
  <c r="AL21" i="88"/>
  <c r="AH21" i="88"/>
  <c r="AD21" i="88"/>
  <c r="Z21" i="88"/>
  <c r="V21" i="88"/>
  <c r="Q21" i="88"/>
  <c r="R21" i="88" s="1"/>
  <c r="BB20" i="88"/>
  <c r="BA20" i="88"/>
  <c r="AZ20" i="88"/>
  <c r="AX20" i="88"/>
  <c r="AW20" i="88"/>
  <c r="AV20" i="88"/>
  <c r="AT20" i="88"/>
  <c r="AS20" i="88"/>
  <c r="AR20" i="88"/>
  <c r="AP20" i="88"/>
  <c r="AO20" i="88"/>
  <c r="AN20" i="88"/>
  <c r="AK20" i="88"/>
  <c r="AJ20" i="88"/>
  <c r="AI20" i="88"/>
  <c r="AG20" i="88"/>
  <c r="AF20" i="88"/>
  <c r="AE20" i="88"/>
  <c r="AC20" i="88"/>
  <c r="AB20" i="88"/>
  <c r="AA20" i="88"/>
  <c r="AD20" i="88" s="1"/>
  <c r="Y20" i="88"/>
  <c r="Z20" i="88" s="1"/>
  <c r="X20" i="88"/>
  <c r="W20" i="88"/>
  <c r="U20" i="88"/>
  <c r="T20" i="88"/>
  <c r="S20" i="88"/>
  <c r="Q20" i="88"/>
  <c r="P20" i="88"/>
  <c r="O20" i="88"/>
  <c r="M20" i="88"/>
  <c r="L20" i="88"/>
  <c r="K20" i="88"/>
  <c r="J20" i="88"/>
  <c r="I20" i="88"/>
  <c r="H20" i="88"/>
  <c r="BC19" i="88"/>
  <c r="AY19" i="88"/>
  <c r="AL19" i="88"/>
  <c r="AD19" i="88"/>
  <c r="Z19" i="88"/>
  <c r="BD18" i="88"/>
  <c r="AY18" i="88"/>
  <c r="AY17" i="88"/>
  <c r="BD17" i="88" s="1"/>
  <c r="AY16" i="88"/>
  <c r="BD16" i="88" s="1"/>
  <c r="V16" i="88"/>
  <c r="AY15" i="88"/>
  <c r="BD15" i="88" s="1"/>
  <c r="BD14" i="88"/>
  <c r="R13" i="88"/>
  <c r="BD13" i="88" s="1"/>
  <c r="AY12" i="88"/>
  <c r="AL12" i="88"/>
  <c r="AD12" i="88"/>
  <c r="BD12" i="88" s="1"/>
  <c r="Z12" i="88"/>
  <c r="BB11" i="88"/>
  <c r="BA11" i="88"/>
  <c r="AZ11" i="88"/>
  <c r="BC11" i="88" s="1"/>
  <c r="AX11" i="88"/>
  <c r="AW11" i="88"/>
  <c r="AY11" i="88" s="1"/>
  <c r="AV11" i="88"/>
  <c r="AT11" i="88"/>
  <c r="AS11" i="88"/>
  <c r="AR11" i="88"/>
  <c r="AP11" i="88"/>
  <c r="AO11" i="88"/>
  <c r="AO6" i="88" s="1"/>
  <c r="AO5" i="88" s="1"/>
  <c r="AN11" i="88"/>
  <c r="AL11" i="88"/>
  <c r="AK11" i="88"/>
  <c r="AJ11" i="88"/>
  <c r="AI11" i="88"/>
  <c r="AG11" i="88"/>
  <c r="AF11" i="88"/>
  <c r="AE11" i="88"/>
  <c r="AC11" i="88"/>
  <c r="AB11" i="88"/>
  <c r="AA11" i="88"/>
  <c r="Y11" i="88"/>
  <c r="X11" i="88"/>
  <c r="W11" i="88"/>
  <c r="Z11" i="88" s="1"/>
  <c r="U11" i="88"/>
  <c r="T11" i="88"/>
  <c r="T6" i="88" s="1"/>
  <c r="T5" i="88" s="1"/>
  <c r="S11" i="88"/>
  <c r="Q11" i="88"/>
  <c r="P11" i="88"/>
  <c r="O11" i="88"/>
  <c r="M11" i="88"/>
  <c r="L11" i="88"/>
  <c r="K11" i="88"/>
  <c r="J11" i="88"/>
  <c r="I11" i="88"/>
  <c r="H11" i="88"/>
  <c r="AY10" i="88"/>
  <c r="BD10" i="88" s="1"/>
  <c r="BB9" i="88"/>
  <c r="BA9" i="88"/>
  <c r="BA7" i="88" s="1"/>
  <c r="BC7" i="88" s="1"/>
  <c r="AZ9" i="88"/>
  <c r="BC9" i="88" s="1"/>
  <c r="AY9" i="88"/>
  <c r="BC8" i="88"/>
  <c r="AY8" i="88"/>
  <c r="AH8" i="88"/>
  <c r="AG8" i="88"/>
  <c r="AF8" i="88"/>
  <c r="AE8" i="88"/>
  <c r="AE7" i="88" s="1"/>
  <c r="AD8" i="88"/>
  <c r="BD8" i="88" s="1"/>
  <c r="BB7" i="88"/>
  <c r="BB6" i="88" s="1"/>
  <c r="BB5" i="88" s="1"/>
  <c r="AZ7" i="88"/>
  <c r="AX7" i="88"/>
  <c r="AW7" i="88"/>
  <c r="AW6" i="88" s="1"/>
  <c r="AW5" i="88" s="1"/>
  <c r="AV7" i="88"/>
  <c r="AT7" i="88"/>
  <c r="AT6" i="88" s="1"/>
  <c r="AS7" i="88"/>
  <c r="AR7" i="88"/>
  <c r="AR6" i="88" s="1"/>
  <c r="AP7" i="88"/>
  <c r="AO7" i="88"/>
  <c r="AN7" i="88"/>
  <c r="AK7" i="88"/>
  <c r="AK6" i="88" s="1"/>
  <c r="AJ7" i="88"/>
  <c r="AI7" i="88"/>
  <c r="AG7" i="88"/>
  <c r="AG6" i="88" s="1"/>
  <c r="AG5" i="88" s="1"/>
  <c r="AF7" i="88"/>
  <c r="AF6" i="88" s="1"/>
  <c r="AF5" i="88" s="1"/>
  <c r="AC7" i="88"/>
  <c r="AC6" i="88" s="1"/>
  <c r="AC5" i="88" s="1"/>
  <c r="AB7" i="88"/>
  <c r="AA7" i="88"/>
  <c r="AD7" i="88" s="1"/>
  <c r="Y7" i="88"/>
  <c r="X7" i="88"/>
  <c r="X6" i="88" s="1"/>
  <c r="X5" i="88" s="1"/>
  <c r="W7" i="88"/>
  <c r="U7" i="88"/>
  <c r="T7" i="88"/>
  <c r="S7" i="88"/>
  <c r="S6" i="88" s="1"/>
  <c r="S5" i="88" s="1"/>
  <c r="Q7" i="88"/>
  <c r="Q6" i="88" s="1"/>
  <c r="Q5" i="88" s="1"/>
  <c r="P7" i="88"/>
  <c r="O7" i="88"/>
  <c r="M7" i="88"/>
  <c r="L7" i="88"/>
  <c r="K7" i="88"/>
  <c r="K6" i="88" s="1"/>
  <c r="K5" i="88" s="1"/>
  <c r="J7" i="88"/>
  <c r="I7" i="88"/>
  <c r="H7" i="88"/>
  <c r="AX6" i="88"/>
  <c r="AX5" i="88" s="1"/>
  <c r="AS6" i="88"/>
  <c r="AP6" i="88"/>
  <c r="AP5" i="88" s="1"/>
  <c r="AN6" i="88"/>
  <c r="AJ6" i="88"/>
  <c r="AI6" i="88"/>
  <c r="AI5" i="88" s="1"/>
  <c r="AB6" i="88"/>
  <c r="AB5" i="88" s="1"/>
  <c r="Y6" i="88"/>
  <c r="Y5" i="88" s="1"/>
  <c r="W6" i="88"/>
  <c r="P6" i="88"/>
  <c r="I6" i="88"/>
  <c r="I5" i="88" s="1"/>
  <c r="G6" i="88"/>
  <c r="G5" i="88" s="1"/>
  <c r="F6" i="88"/>
  <c r="E6" i="88"/>
  <c r="E5" i="88" s="1"/>
  <c r="D6" i="88"/>
  <c r="C6" i="88"/>
  <c r="B6" i="88"/>
  <c r="B5" i="88" s="1"/>
  <c r="AS5" i="88"/>
  <c r="AN5" i="88"/>
  <c r="W5" i="88"/>
  <c r="P5" i="88"/>
  <c r="F5" i="88"/>
  <c r="D5" i="88"/>
  <c r="C5" i="88"/>
  <c r="N16" i="85"/>
  <c r="F14" i="85"/>
  <c r="N10" i="85"/>
  <c r="M9" i="85"/>
  <c r="F9" i="85"/>
  <c r="N8" i="85"/>
  <c r="E8" i="85"/>
  <c r="E12" i="85" s="1"/>
  <c r="D40" i="91"/>
  <c r="D39" i="91"/>
  <c r="D38" i="91"/>
  <c r="D37" i="91"/>
  <c r="D36" i="91"/>
  <c r="D35" i="91"/>
  <c r="D34" i="91"/>
  <c r="D33" i="91"/>
  <c r="D32" i="91"/>
  <c r="I31" i="91"/>
  <c r="D31" i="91"/>
  <c r="D30" i="91"/>
  <c r="H29" i="91"/>
  <c r="H28" i="91"/>
  <c r="G28" i="91"/>
  <c r="F28" i="91"/>
  <c r="F41" i="91" s="1"/>
  <c r="E28" i="91"/>
  <c r="H27" i="91"/>
  <c r="H26" i="91"/>
  <c r="H25" i="91"/>
  <c r="H24" i="91"/>
  <c r="H23" i="91"/>
  <c r="H22" i="91"/>
  <c r="H21" i="91"/>
  <c r="G20" i="91"/>
  <c r="F20" i="91"/>
  <c r="D20" i="91"/>
  <c r="H19" i="91"/>
  <c r="D19" i="91"/>
  <c r="H18" i="91"/>
  <c r="D18" i="91"/>
  <c r="H17" i="91"/>
  <c r="H16" i="91"/>
  <c r="D16" i="91"/>
  <c r="H15" i="91"/>
  <c r="H14" i="91"/>
  <c r="I13" i="91"/>
  <c r="H13" i="91"/>
  <c r="D13" i="91"/>
  <c r="D12" i="91" s="1"/>
  <c r="D5" i="91" s="1"/>
  <c r="G12" i="91"/>
  <c r="G5" i="91" s="1"/>
  <c r="F12" i="91"/>
  <c r="H11" i="91"/>
  <c r="H10" i="91"/>
  <c r="H9" i="91"/>
  <c r="D9" i="91"/>
  <c r="H8" i="91"/>
  <c r="H7" i="91"/>
  <c r="H6" i="91" s="1"/>
  <c r="G6" i="91"/>
  <c r="F6" i="91"/>
  <c r="D6" i="91"/>
  <c r="F5" i="91"/>
  <c r="C49" i="77"/>
  <c r="C48" i="77"/>
  <c r="C47" i="77"/>
  <c r="C46" i="77"/>
  <c r="C45" i="77"/>
  <c r="C44" i="77" s="1"/>
  <c r="H36" i="77"/>
  <c r="E36" i="77"/>
  <c r="I36" i="77" s="1"/>
  <c r="H35" i="77"/>
  <c r="E35" i="77"/>
  <c r="I35" i="77" s="1"/>
  <c r="H34" i="77"/>
  <c r="E34" i="77"/>
  <c r="I34" i="77" s="1"/>
  <c r="I33" i="77"/>
  <c r="H33" i="77"/>
  <c r="E33" i="77"/>
  <c r="H32" i="77"/>
  <c r="E32" i="77"/>
  <c r="I32" i="77" s="1"/>
  <c r="C31" i="77"/>
  <c r="M27" i="77"/>
  <c r="O27" i="77" s="1"/>
  <c r="D25" i="77"/>
  <c r="M25" i="77" s="1"/>
  <c r="O25" i="77" s="1"/>
  <c r="C25" i="77"/>
  <c r="O24" i="77"/>
  <c r="D24" i="77"/>
  <c r="C24" i="77"/>
  <c r="O23" i="77"/>
  <c r="D23" i="77"/>
  <c r="C23" i="77"/>
  <c r="N22" i="77"/>
  <c r="O22" i="77" s="1"/>
  <c r="D22" i="77"/>
  <c r="C22" i="77"/>
  <c r="M21" i="77"/>
  <c r="O21" i="77" s="1"/>
  <c r="C21" i="77"/>
  <c r="M20" i="77"/>
  <c r="O20" i="77" s="1"/>
  <c r="C20" i="77"/>
  <c r="O19" i="77"/>
  <c r="D19" i="77"/>
  <c r="C19" i="77"/>
  <c r="O18" i="77"/>
  <c r="D18" i="77"/>
  <c r="C18" i="77"/>
  <c r="D17" i="77"/>
  <c r="N17" i="77" s="1"/>
  <c r="C17" i="77"/>
  <c r="D16" i="77"/>
  <c r="M16" i="77" s="1"/>
  <c r="C16" i="77"/>
  <c r="E3" i="77"/>
  <c r="D54" i="76"/>
  <c r="C54" i="76"/>
  <c r="B54" i="76"/>
  <c r="G53" i="76"/>
  <c r="H53" i="76" s="1"/>
  <c r="H54" i="76" s="1"/>
  <c r="E53" i="76"/>
  <c r="E52" i="76"/>
  <c r="G52" i="76" s="1"/>
  <c r="E51" i="76"/>
  <c r="F51" i="76" s="1"/>
  <c r="G51" i="76" s="1"/>
  <c r="F50" i="76"/>
  <c r="G50" i="76" s="1"/>
  <c r="E50" i="76"/>
  <c r="E49" i="76"/>
  <c r="G49" i="76" s="1"/>
  <c r="E48" i="76"/>
  <c r="G48" i="76" s="1"/>
  <c r="E47" i="76"/>
  <c r="G47" i="76" s="1"/>
  <c r="G46" i="76"/>
  <c r="E46" i="76"/>
  <c r="E45" i="76"/>
  <c r="G45" i="76" s="1"/>
  <c r="D39" i="76"/>
  <c r="K38" i="76"/>
  <c r="D38" i="76"/>
  <c r="D40" i="76" s="1"/>
  <c r="H28" i="76"/>
  <c r="F28" i="76"/>
  <c r="F21" i="76" s="1"/>
  <c r="J27" i="76"/>
  <c r="G27" i="76"/>
  <c r="K26" i="76"/>
  <c r="J26" i="76"/>
  <c r="H26" i="76" s="1"/>
  <c r="G26" i="76"/>
  <c r="G25" i="76"/>
  <c r="M24" i="76"/>
  <c r="G24" i="76"/>
  <c r="G23" i="76"/>
  <c r="G22" i="76"/>
  <c r="E21" i="76"/>
  <c r="D21" i="76"/>
  <c r="C21" i="76"/>
  <c r="B21" i="76"/>
  <c r="F20" i="76"/>
  <c r="G20" i="76" s="1"/>
  <c r="F19" i="76"/>
  <c r="G19" i="76" s="1"/>
  <c r="D19" i="76"/>
  <c r="C18" i="76"/>
  <c r="K17" i="76"/>
  <c r="H17" i="76" s="1"/>
  <c r="F17" i="76"/>
  <c r="G17" i="76" s="1"/>
  <c r="F16" i="76"/>
  <c r="G16" i="76" s="1"/>
  <c r="K15" i="76"/>
  <c r="F15" i="76"/>
  <c r="G15" i="76" s="1"/>
  <c r="E14" i="76"/>
  <c r="D14" i="76"/>
  <c r="C14" i="76"/>
  <c r="E13" i="76"/>
  <c r="C13" i="76"/>
  <c r="B13" i="76"/>
  <c r="F12" i="76"/>
  <c r="E48" i="77" s="1"/>
  <c r="C12" i="76"/>
  <c r="G12" i="76" s="1"/>
  <c r="F11" i="76"/>
  <c r="E47" i="77" s="1"/>
  <c r="D11" i="76"/>
  <c r="C11" i="76"/>
  <c r="D10" i="76"/>
  <c r="D8" i="76" s="1"/>
  <c r="F8" i="76" s="1"/>
  <c r="C10" i="76"/>
  <c r="D46" i="77" s="1"/>
  <c r="F9" i="76"/>
  <c r="E45" i="77" s="1"/>
  <c r="D9" i="76"/>
  <c r="C9" i="76"/>
  <c r="G9" i="76" s="1"/>
  <c r="E8" i="76"/>
  <c r="E39" i="76" s="1"/>
  <c r="F39" i="76" s="1"/>
  <c r="B8" i="76"/>
  <c r="F7" i="76"/>
  <c r="C7" i="76"/>
  <c r="B7" i="76"/>
  <c r="B29" i="76" s="1"/>
  <c r="M2" i="76"/>
  <c r="C19" i="60"/>
  <c r="E18" i="60"/>
  <c r="D18" i="60"/>
  <c r="C18" i="60"/>
  <c r="B18" i="60"/>
  <c r="F18" i="60" s="1"/>
  <c r="F17" i="60"/>
  <c r="F16" i="60"/>
  <c r="F15" i="60"/>
  <c r="F14" i="60"/>
  <c r="F13" i="60"/>
  <c r="F12" i="60"/>
  <c r="F11" i="60"/>
  <c r="F10" i="60"/>
  <c r="F9" i="60"/>
  <c r="F8" i="60"/>
  <c r="F7" i="60"/>
  <c r="F6" i="60"/>
  <c r="E80" i="59"/>
  <c r="B80" i="59"/>
  <c r="B79" i="59"/>
  <c r="C79" i="59" s="1"/>
  <c r="B78" i="59"/>
  <c r="C78" i="59" s="1"/>
  <c r="B76" i="59"/>
  <c r="C76" i="59" s="1"/>
  <c r="D73" i="59"/>
  <c r="C73" i="59"/>
  <c r="B73" i="59"/>
  <c r="E72" i="59"/>
  <c r="D72" i="59"/>
  <c r="C72" i="59"/>
  <c r="B72" i="59"/>
  <c r="D71" i="59"/>
  <c r="C71" i="59"/>
  <c r="B71" i="59"/>
  <c r="E70" i="59"/>
  <c r="C70" i="59"/>
  <c r="B70" i="59"/>
  <c r="C69" i="59"/>
  <c r="B69" i="59"/>
  <c r="D68" i="59"/>
  <c r="C68" i="59"/>
  <c r="B68" i="59"/>
  <c r="D67" i="59"/>
  <c r="C67" i="59"/>
  <c r="B67" i="59"/>
  <c r="D66" i="59"/>
  <c r="C66" i="59"/>
  <c r="B66" i="59"/>
  <c r="E65" i="59"/>
  <c r="D65" i="59"/>
  <c r="C65" i="59"/>
  <c r="B65" i="59"/>
  <c r="E64" i="59"/>
  <c r="D64" i="59"/>
  <c r="C64" i="59"/>
  <c r="B64" i="59"/>
  <c r="D61" i="59"/>
  <c r="C61" i="59"/>
  <c r="B61" i="59"/>
  <c r="E60" i="59"/>
  <c r="D60" i="59"/>
  <c r="C60" i="59"/>
  <c r="B60" i="59"/>
  <c r="E59" i="59"/>
  <c r="D59" i="59"/>
  <c r="C59" i="59"/>
  <c r="B59" i="59"/>
  <c r="E58" i="59"/>
  <c r="D58" i="59"/>
  <c r="C58" i="59"/>
  <c r="B58" i="59"/>
  <c r="E57" i="59"/>
  <c r="D57" i="59"/>
  <c r="C57" i="59"/>
  <c r="B57" i="59"/>
  <c r="E56" i="59"/>
  <c r="D56" i="59"/>
  <c r="C56" i="59"/>
  <c r="B56" i="59"/>
  <c r="E55" i="59"/>
  <c r="D55" i="59"/>
  <c r="C55" i="59"/>
  <c r="B55" i="59"/>
  <c r="D54" i="59"/>
  <c r="C54" i="59"/>
  <c r="B54" i="59"/>
  <c r="E53" i="59"/>
  <c r="D53" i="59"/>
  <c r="C53" i="59"/>
  <c r="B53" i="59"/>
  <c r="E52" i="59"/>
  <c r="D52" i="59"/>
  <c r="C52" i="59"/>
  <c r="B52" i="59"/>
  <c r="C49" i="59"/>
  <c r="B49" i="59"/>
  <c r="C48" i="59"/>
  <c r="B48" i="59"/>
  <c r="C47" i="59"/>
  <c r="B47" i="59"/>
  <c r="C46" i="59"/>
  <c r="B46" i="59"/>
  <c r="C45" i="59"/>
  <c r="B45" i="59"/>
  <c r="C44" i="59"/>
  <c r="B44" i="59"/>
  <c r="D43" i="59"/>
  <c r="E41" i="59"/>
  <c r="F41" i="59" s="1"/>
  <c r="C41" i="59"/>
  <c r="B41" i="59"/>
  <c r="C40" i="59"/>
  <c r="B40" i="59"/>
  <c r="C39" i="59"/>
  <c r="B39" i="59"/>
  <c r="E38" i="59"/>
  <c r="C38" i="59"/>
  <c r="B38" i="59"/>
  <c r="E37" i="59"/>
  <c r="F37" i="59" s="1"/>
  <c r="C37" i="59"/>
  <c r="B37" i="59"/>
  <c r="C36" i="59"/>
  <c r="B36" i="59"/>
  <c r="C33" i="59"/>
  <c r="B33" i="59"/>
  <c r="C32" i="59"/>
  <c r="B32" i="59"/>
  <c r="C31" i="59"/>
  <c r="B31" i="59"/>
  <c r="E30" i="59"/>
  <c r="D30" i="59"/>
  <c r="C30" i="59"/>
  <c r="B30" i="59"/>
  <c r="D29" i="59"/>
  <c r="C29" i="59"/>
  <c r="B29" i="59"/>
  <c r="E28" i="59"/>
  <c r="C28" i="59"/>
  <c r="B28" i="59"/>
  <c r="C27" i="59"/>
  <c r="B27" i="59"/>
  <c r="E24" i="59"/>
  <c r="D24" i="59"/>
  <c r="C24" i="59"/>
  <c r="B24" i="59"/>
  <c r="E23" i="59"/>
  <c r="D23" i="59"/>
  <c r="C23" i="59"/>
  <c r="B23" i="59"/>
  <c r="E22" i="59"/>
  <c r="D22" i="59"/>
  <c r="C22" i="59"/>
  <c r="B22" i="59"/>
  <c r="E21" i="59"/>
  <c r="D21" i="59"/>
  <c r="C21" i="59"/>
  <c r="B21" i="59"/>
  <c r="C18" i="59"/>
  <c r="B18" i="59"/>
  <c r="C17" i="59"/>
  <c r="B17" i="59"/>
  <c r="C16" i="59"/>
  <c r="B16" i="59"/>
  <c r="C15" i="59"/>
  <c r="B15" i="59"/>
  <c r="C14" i="59"/>
  <c r="B14" i="59"/>
  <c r="C13" i="59"/>
  <c r="B13" i="59"/>
  <c r="C12" i="59"/>
  <c r="B12" i="59"/>
  <c r="C11" i="59"/>
  <c r="B11" i="59"/>
  <c r="C10" i="59"/>
  <c r="B10" i="59"/>
  <c r="C9" i="59"/>
  <c r="B9" i="59"/>
  <c r="H4" i="59"/>
  <c r="H4" i="61" s="1"/>
  <c r="G4" i="59"/>
  <c r="G4" i="61" s="1"/>
  <c r="C20" i="61"/>
  <c r="D19" i="61"/>
  <c r="H16" i="61"/>
  <c r="G16" i="61"/>
  <c r="F16" i="61"/>
  <c r="E16" i="61"/>
  <c r="D16" i="61"/>
  <c r="C16" i="61"/>
  <c r="D12" i="61"/>
  <c r="C4" i="61"/>
  <c r="B4" i="61"/>
  <c r="C4" i="58"/>
  <c r="E3" i="58"/>
  <c r="O26" i="76" l="1"/>
  <c r="M12" i="82"/>
  <c r="T34" i="84"/>
  <c r="S33" i="84"/>
  <c r="AH7" i="88"/>
  <c r="AE6" i="88"/>
  <c r="M13" i="82"/>
  <c r="F10" i="76"/>
  <c r="E46" i="77" s="1"/>
  <c r="G41" i="91"/>
  <c r="V11" i="88"/>
  <c r="BD19" i="88"/>
  <c r="U6" i="88"/>
  <c r="AH26" i="88"/>
  <c r="K26" i="89"/>
  <c r="T34" i="89"/>
  <c r="U34" i="89" s="1"/>
  <c r="I61" i="89"/>
  <c r="X61" i="89"/>
  <c r="I6" i="90"/>
  <c r="I5" i="90" s="1"/>
  <c r="L27" i="84"/>
  <c r="D31" i="84"/>
  <c r="T31" i="84" s="1"/>
  <c r="N36" i="84"/>
  <c r="M44" i="84"/>
  <c r="M47" i="84"/>
  <c r="Q61" i="84"/>
  <c r="S51" i="84"/>
  <c r="J57" i="83"/>
  <c r="F29" i="82"/>
  <c r="I13" i="98"/>
  <c r="D26" i="98"/>
  <c r="Y4" i="94"/>
  <c r="N13" i="94"/>
  <c r="N4" i="94" s="1"/>
  <c r="AJ23" i="94"/>
  <c r="T28" i="94"/>
  <c r="E24" i="94"/>
  <c r="E62" i="94" s="1"/>
  <c r="AL36" i="94"/>
  <c r="AW38" i="94"/>
  <c r="AL53" i="94"/>
  <c r="AD52" i="99"/>
  <c r="AF54" i="99"/>
  <c r="V48" i="101"/>
  <c r="BF48" i="101" s="1"/>
  <c r="S40" i="108"/>
  <c r="AE40" i="108" s="1"/>
  <c r="AE41" i="108"/>
  <c r="U41" i="108"/>
  <c r="E26" i="89"/>
  <c r="B17" i="61"/>
  <c r="B16" i="61" s="1"/>
  <c r="G11" i="76"/>
  <c r="L6" i="88"/>
  <c r="L5" i="88" s="1"/>
  <c r="AH20" i="88"/>
  <c r="BD21" i="88"/>
  <c r="BD20" i="88" s="1"/>
  <c r="Z26" i="88"/>
  <c r="N31" i="89"/>
  <c r="D31" i="89" s="1"/>
  <c r="U31" i="89" s="1"/>
  <c r="M36" i="89"/>
  <c r="M42" i="89"/>
  <c r="M44" i="89"/>
  <c r="W49" i="89"/>
  <c r="N57" i="89"/>
  <c r="Y57" i="89" s="1"/>
  <c r="Z57" i="89" s="1"/>
  <c r="AA20" i="90"/>
  <c r="T26" i="90"/>
  <c r="U41" i="84"/>
  <c r="N51" i="84"/>
  <c r="W51" i="84" s="1"/>
  <c r="D52" i="84"/>
  <c r="N55" i="84"/>
  <c r="W55" i="84" s="1"/>
  <c r="X55" i="84" s="1"/>
  <c r="X59" i="84"/>
  <c r="J22" i="83"/>
  <c r="G37" i="83"/>
  <c r="D10" i="82"/>
  <c r="L13" i="82"/>
  <c r="I16" i="82"/>
  <c r="F16" i="98"/>
  <c r="H16" i="98" s="1"/>
  <c r="K26" i="98"/>
  <c r="V13" i="94"/>
  <c r="AR13" i="94"/>
  <c r="AJ19" i="94"/>
  <c r="AS21" i="94"/>
  <c r="AS22" i="94"/>
  <c r="AX25" i="94"/>
  <c r="AL33" i="94"/>
  <c r="AL37" i="94"/>
  <c r="AC38" i="94"/>
  <c r="AU39" i="94"/>
  <c r="AA41" i="94"/>
  <c r="AV26" i="99"/>
  <c r="H60" i="99"/>
  <c r="L26" i="76"/>
  <c r="M11" i="85"/>
  <c r="P15" i="85" s="1"/>
  <c r="AZ6" i="88"/>
  <c r="AZ5" i="88" s="1"/>
  <c r="R7" i="88"/>
  <c r="BD7" i="88" s="1"/>
  <c r="AY7" i="88"/>
  <c r="M6" i="88"/>
  <c r="AL20" i="88"/>
  <c r="AT26" i="88"/>
  <c r="AU26" i="88" s="1"/>
  <c r="BD26" i="88" s="1"/>
  <c r="N40" i="89"/>
  <c r="N42" i="89"/>
  <c r="Q49" i="89"/>
  <c r="AA11" i="90"/>
  <c r="E61" i="84"/>
  <c r="AH4" i="94"/>
  <c r="BA15" i="94"/>
  <c r="R26" i="94"/>
  <c r="AW36" i="94"/>
  <c r="BD9" i="88"/>
  <c r="J61" i="89"/>
  <c r="M26" i="76"/>
  <c r="R11" i="88"/>
  <c r="AV6" i="88"/>
  <c r="AJ5" i="88"/>
  <c r="N27" i="89"/>
  <c r="M27" i="89"/>
  <c r="G61" i="89"/>
  <c r="K49" i="89"/>
  <c r="K61" i="89" s="1"/>
  <c r="V6" i="90"/>
  <c r="AE21" i="90"/>
  <c r="G26" i="84"/>
  <c r="G33" i="84"/>
  <c r="N35" i="84"/>
  <c r="M43" i="84"/>
  <c r="M9" i="83"/>
  <c r="D8" i="82"/>
  <c r="D12" i="82"/>
  <c r="AX5" i="94"/>
  <c r="AU5" i="94"/>
  <c r="AW12" i="94"/>
  <c r="BE15" i="94"/>
  <c r="BG15" i="94" s="1"/>
  <c r="BF15" i="94"/>
  <c r="AB16" i="94"/>
  <c r="AC16" i="94" s="1"/>
  <c r="AW27" i="94"/>
  <c r="AY36" i="94"/>
  <c r="AX36" i="94"/>
  <c r="AX39" i="94"/>
  <c r="F47" i="94"/>
  <c r="H47" i="94" s="1"/>
  <c r="H48" i="94"/>
  <c r="C18" i="81"/>
  <c r="E7" i="81"/>
  <c r="E18" i="81" s="1"/>
  <c r="B39" i="105"/>
  <c r="F35" i="76"/>
  <c r="N26" i="76"/>
  <c r="W27" i="89"/>
  <c r="N30" i="89"/>
  <c r="D32" i="89"/>
  <c r="G26" i="89"/>
  <c r="N35" i="89"/>
  <c r="W33" i="89"/>
  <c r="W41" i="89"/>
  <c r="J7" i="90"/>
  <c r="M9" i="84"/>
  <c r="R13" i="84" s="1"/>
  <c r="H33" i="84"/>
  <c r="H26" i="84" s="1"/>
  <c r="H61" i="84" s="1"/>
  <c r="F57" i="83"/>
  <c r="C9" i="82"/>
  <c r="B13" i="98"/>
  <c r="B27" i="98" s="1"/>
  <c r="B30" i="98" s="1"/>
  <c r="C30" i="98" s="1"/>
  <c r="T5" i="94"/>
  <c r="AS14" i="94"/>
  <c r="AS13" i="94" s="1"/>
  <c r="AA15" i="94"/>
  <c r="AC15" i="94" s="1"/>
  <c r="BB19" i="94"/>
  <c r="T36" i="94"/>
  <c r="BF27" i="101"/>
  <c r="AZ47" i="101"/>
  <c r="H20" i="91"/>
  <c r="H6" i="88"/>
  <c r="H5" i="88" s="1"/>
  <c r="R20" i="88"/>
  <c r="E10" i="89"/>
  <c r="L26" i="89"/>
  <c r="N26" i="89" s="1"/>
  <c r="P61" i="89"/>
  <c r="Z54" i="89"/>
  <c r="E6" i="90"/>
  <c r="AE26" i="90"/>
  <c r="I61" i="84"/>
  <c r="D27" i="84"/>
  <c r="L41" i="84"/>
  <c r="G45" i="83"/>
  <c r="G57" i="83" s="1"/>
  <c r="AW5" i="94"/>
  <c r="AS7" i="94"/>
  <c r="AW33" i="94"/>
  <c r="AB46" i="94"/>
  <c r="AC61" i="94"/>
  <c r="AA58" i="94"/>
  <c r="W30" i="101"/>
  <c r="U28" i="101"/>
  <c r="BA30" i="101"/>
  <c r="U18" i="108"/>
  <c r="W18" i="108" s="1"/>
  <c r="Y18" i="108" s="1"/>
  <c r="AA18" i="108" s="1"/>
  <c r="AC18" i="108" s="1"/>
  <c r="AE18" i="108"/>
  <c r="X37" i="89"/>
  <c r="B76" i="104"/>
  <c r="B77" i="105"/>
  <c r="G7" i="76"/>
  <c r="M27" i="76"/>
  <c r="D15" i="77"/>
  <c r="H12" i="91"/>
  <c r="H5" i="91" s="1"/>
  <c r="H41" i="91" s="1"/>
  <c r="AA6" i="88"/>
  <c r="AD6" i="88" s="1"/>
  <c r="J6" i="88"/>
  <c r="J5" i="88" s="1"/>
  <c r="AD11" i="88"/>
  <c r="BC20" i="88"/>
  <c r="BD25" i="88"/>
  <c r="D33" i="89"/>
  <c r="AB6" i="90"/>
  <c r="AB5" i="90" s="1"/>
  <c r="AD5" i="90" s="1"/>
  <c r="AB34" i="90" s="1"/>
  <c r="L6" i="90"/>
  <c r="L5" i="90" s="1"/>
  <c r="AE20" i="90"/>
  <c r="M20" i="90"/>
  <c r="D15" i="97"/>
  <c r="D32" i="84"/>
  <c r="J26" i="84"/>
  <c r="U33" i="84"/>
  <c r="V39" i="84"/>
  <c r="M42" i="84"/>
  <c r="N45" i="84"/>
  <c r="M56" i="84"/>
  <c r="AY5" i="94"/>
  <c r="AJ8" i="94"/>
  <c r="AO4" i="94"/>
  <c r="AJ15" i="94"/>
  <c r="AL15" i="94" s="1"/>
  <c r="AT15" i="94"/>
  <c r="AU15" i="94" s="1"/>
  <c r="BE16" i="94"/>
  <c r="BF16" i="94"/>
  <c r="R18" i="94"/>
  <c r="AJ18" i="94"/>
  <c r="AX33" i="94"/>
  <c r="T37" i="94"/>
  <c r="AY37" i="94"/>
  <c r="AR6" i="99"/>
  <c r="I17" i="99"/>
  <c r="K17" i="99" s="1"/>
  <c r="F24" i="99"/>
  <c r="B117" i="105"/>
  <c r="AN18" i="99"/>
  <c r="BI23" i="99"/>
  <c r="BA38" i="99"/>
  <c r="AX40" i="99"/>
  <c r="W47" i="99"/>
  <c r="AX47" i="99"/>
  <c r="F49" i="99"/>
  <c r="U86" i="99"/>
  <c r="BJ16" i="101"/>
  <c r="AE18" i="101"/>
  <c r="AF18" i="101" s="1"/>
  <c r="BA21" i="101"/>
  <c r="BA23" i="101"/>
  <c r="BB35" i="101"/>
  <c r="BA40" i="101"/>
  <c r="AX40" i="101"/>
  <c r="U43" i="101"/>
  <c r="BA43" i="101" s="1"/>
  <c r="AX47" i="101"/>
  <c r="V50" i="101"/>
  <c r="W50" i="101" s="1"/>
  <c r="Q15" i="108"/>
  <c r="L40" i="109"/>
  <c r="B81" i="103"/>
  <c r="B159" i="104"/>
  <c r="E118" i="105"/>
  <c r="J12" i="54"/>
  <c r="AL47" i="94"/>
  <c r="AK48" i="94"/>
  <c r="AL48" i="94" s="1"/>
  <c r="S49" i="94"/>
  <c r="AV53" i="94"/>
  <c r="BA24" i="99"/>
  <c r="AX27" i="99"/>
  <c r="AX41" i="99"/>
  <c r="U43" i="99"/>
  <c r="BA43" i="99" s="1"/>
  <c r="BB47" i="99"/>
  <c r="AN48" i="99"/>
  <c r="AO48" i="99" s="1"/>
  <c r="K49" i="99"/>
  <c r="W50" i="99"/>
  <c r="Q42" i="99"/>
  <c r="H53" i="99"/>
  <c r="H52" i="99" s="1"/>
  <c r="H71" i="99"/>
  <c r="BA7" i="101"/>
  <c r="L8" i="101"/>
  <c r="N8" i="101" s="1"/>
  <c r="AE17" i="101"/>
  <c r="BB17" i="101" s="1"/>
  <c r="BM18" i="101"/>
  <c r="AE51" i="101"/>
  <c r="AY55" i="101"/>
  <c r="S17" i="108"/>
  <c r="U17" i="108" s="1"/>
  <c r="W17" i="108" s="1"/>
  <c r="Y17" i="108" s="1"/>
  <c r="AA17" i="108" s="1"/>
  <c r="AC17" i="108" s="1"/>
  <c r="AE22" i="108"/>
  <c r="C117" i="104"/>
  <c r="E159" i="104"/>
  <c r="E123" i="105"/>
  <c r="E117" i="105" s="1"/>
  <c r="AV52" i="94"/>
  <c r="AW57" i="94"/>
  <c r="BI19" i="99"/>
  <c r="BA47" i="99"/>
  <c r="AD6" i="101"/>
  <c r="BB27" i="101"/>
  <c r="BF31" i="101"/>
  <c r="W40" i="101"/>
  <c r="BB41" i="101"/>
  <c r="W47" i="101"/>
  <c r="T52" i="101"/>
  <c r="AZ55" i="101"/>
  <c r="H58" i="101"/>
  <c r="H57" i="101" s="1"/>
  <c r="E86" i="101"/>
  <c r="H53" i="108"/>
  <c r="U11" i="108"/>
  <c r="W11" i="108" s="1"/>
  <c r="Y11" i="108" s="1"/>
  <c r="AA11" i="108" s="1"/>
  <c r="AC11" i="108" s="1"/>
  <c r="C7" i="41"/>
  <c r="H7" i="81"/>
  <c r="H18" i="81" s="1"/>
  <c r="E46" i="109"/>
  <c r="E54" i="103"/>
  <c r="E117" i="104"/>
  <c r="E169" i="104"/>
  <c r="E154" i="104" s="1"/>
  <c r="K16" i="76"/>
  <c r="AL45" i="94"/>
  <c r="AX53" i="94"/>
  <c r="AY53" i="94" s="1"/>
  <c r="BA11" i="99"/>
  <c r="BA14" i="99"/>
  <c r="W27" i="99"/>
  <c r="BB35" i="99"/>
  <c r="BA41" i="99"/>
  <c r="L49" i="99"/>
  <c r="AW50" i="99"/>
  <c r="T15" i="101"/>
  <c r="F22" i="101"/>
  <c r="H22" i="101" s="1"/>
  <c r="K49" i="101"/>
  <c r="H50" i="101"/>
  <c r="AW50" i="101"/>
  <c r="V51" i="101"/>
  <c r="H53" i="101"/>
  <c r="H52" i="101" s="1"/>
  <c r="M64" i="101"/>
  <c r="P76" i="101"/>
  <c r="P86" i="101" s="1"/>
  <c r="X53" i="108"/>
  <c r="G39" i="104"/>
  <c r="E54" i="104"/>
  <c r="E54" i="105"/>
  <c r="E39" i="105" s="1"/>
  <c r="C117" i="105"/>
  <c r="E169" i="105"/>
  <c r="E154" i="105" s="1"/>
  <c r="AW48" i="94"/>
  <c r="AT48" i="94"/>
  <c r="AW61" i="94"/>
  <c r="Y15" i="99"/>
  <c r="V17" i="99"/>
  <c r="BB17" i="99" s="1"/>
  <c r="AN17" i="99"/>
  <c r="AO17" i="99" s="1"/>
  <c r="BA33" i="99"/>
  <c r="BA35" i="99"/>
  <c r="AF40" i="99"/>
  <c r="AW48" i="99"/>
  <c r="N49" i="99"/>
  <c r="AE50" i="99"/>
  <c r="V51" i="99"/>
  <c r="W51" i="99" s="1"/>
  <c r="J52" i="99"/>
  <c r="K52" i="99" s="1"/>
  <c r="N60" i="99"/>
  <c r="BB7" i="101"/>
  <c r="AM9" i="101"/>
  <c r="F17" i="101"/>
  <c r="H17" i="101" s="1"/>
  <c r="BH21" i="101"/>
  <c r="BJ21" i="101" s="1"/>
  <c r="AP6" i="101"/>
  <c r="BA38" i="101"/>
  <c r="BA56" i="101"/>
  <c r="F6" i="108"/>
  <c r="U23" i="108"/>
  <c r="W23" i="108" s="1"/>
  <c r="Y23" i="108" s="1"/>
  <c r="AA23" i="108" s="1"/>
  <c r="AC23" i="108" s="1"/>
  <c r="B52" i="41"/>
  <c r="L39" i="109"/>
  <c r="G39" i="105"/>
  <c r="B81" i="105"/>
  <c r="B6" i="54"/>
  <c r="BR7" i="54"/>
  <c r="AX12" i="54"/>
  <c r="AX6" i="54" s="1"/>
  <c r="AN12" i="54"/>
  <c r="AN6" i="54" s="1"/>
  <c r="AD12" i="54"/>
  <c r="T12" i="54"/>
  <c r="T6" i="54" s="1"/>
  <c r="B12" i="54"/>
  <c r="CB12" i="54"/>
  <c r="CB6" i="54" s="1"/>
  <c r="AB49" i="94"/>
  <c r="AC49" i="94" s="1"/>
  <c r="AT49" i="94"/>
  <c r="AU49" i="94" s="1"/>
  <c r="AV10" i="99"/>
  <c r="L10" i="99" s="1"/>
  <c r="N10" i="99" s="1"/>
  <c r="AK6" i="99"/>
  <c r="BG16" i="99"/>
  <c r="BL18" i="99"/>
  <c r="F19" i="99"/>
  <c r="AV22" i="99"/>
  <c r="AO39" i="99"/>
  <c r="AF41" i="99"/>
  <c r="W49" i="99"/>
  <c r="AF7" i="101"/>
  <c r="BC7" i="101"/>
  <c r="BA8" i="101"/>
  <c r="E12" i="101"/>
  <c r="BL17" i="101"/>
  <c r="AN17" i="101"/>
  <c r="AO17" i="101" s="1"/>
  <c r="BH23" i="101"/>
  <c r="BJ23" i="101" s="1"/>
  <c r="BC35" i="101"/>
  <c r="AO40" i="101"/>
  <c r="V54" i="101"/>
  <c r="BF55" i="101"/>
  <c r="AY63" i="101"/>
  <c r="H71" i="101"/>
  <c r="B150" i="103"/>
  <c r="B39" i="104"/>
  <c r="B131" i="104"/>
  <c r="B117" i="104" s="1"/>
  <c r="AX45" i="94"/>
  <c r="AW47" i="94"/>
  <c r="AB48" i="94"/>
  <c r="AC48" i="94" s="1"/>
  <c r="H55" i="94"/>
  <c r="AW58" i="94"/>
  <c r="T61" i="94"/>
  <c r="W7" i="99"/>
  <c r="BA12" i="99"/>
  <c r="AX38" i="99"/>
  <c r="AO40" i="99"/>
  <c r="V48" i="99"/>
  <c r="AF49" i="99"/>
  <c r="P86" i="99"/>
  <c r="K12" i="101"/>
  <c r="V17" i="101"/>
  <c r="W17" i="101" s="1"/>
  <c r="W18" i="101"/>
  <c r="F19" i="101"/>
  <c r="BC27" i="101"/>
  <c r="F35" i="101"/>
  <c r="AO41" i="101"/>
  <c r="AE50" i="101"/>
  <c r="AF50" i="101" s="1"/>
  <c r="AF55" i="101"/>
  <c r="BA61" i="101"/>
  <c r="AE21" i="108"/>
  <c r="P53" i="108"/>
  <c r="U51" i="108"/>
  <c r="W51" i="108" s="1"/>
  <c r="Y51" i="108" s="1"/>
  <c r="AA51" i="108" s="1"/>
  <c r="AC51" i="108" s="1"/>
  <c r="E44" i="103"/>
  <c r="C39" i="104"/>
  <c r="F154" i="104"/>
  <c r="G154" i="105"/>
  <c r="C154" i="105"/>
  <c r="AD7" i="54"/>
  <c r="BR12" i="54"/>
  <c r="F21" i="59"/>
  <c r="AJ16" i="94"/>
  <c r="AB57" i="99"/>
  <c r="AB42" i="99" s="1"/>
  <c r="C21" i="61"/>
  <c r="E11" i="108"/>
  <c r="C5" i="58"/>
  <c r="E5" i="58" s="1"/>
  <c r="AV51" i="99"/>
  <c r="AX51" i="99" s="1"/>
  <c r="AC57" i="99"/>
  <c r="B155" i="103"/>
  <c r="E118" i="103"/>
  <c r="D76" i="103"/>
  <c r="B77" i="103"/>
  <c r="B76" i="103" s="1"/>
  <c r="G39" i="103"/>
  <c r="E36" i="59"/>
  <c r="F36" i="59" s="1"/>
  <c r="G36" i="59" s="1"/>
  <c r="F47" i="89"/>
  <c r="F37" i="84"/>
  <c r="V37" i="84" s="1"/>
  <c r="D27" i="59"/>
  <c r="F27" i="59" s="1"/>
  <c r="G27" i="59" s="1"/>
  <c r="F42" i="89"/>
  <c r="AR49" i="101"/>
  <c r="AR42" i="101" s="1"/>
  <c r="K12" i="104"/>
  <c r="K21" i="104"/>
  <c r="AB26" i="101"/>
  <c r="AG52" i="101"/>
  <c r="AG42" i="101" s="1"/>
  <c r="F32" i="84"/>
  <c r="AI42" i="101"/>
  <c r="E14" i="103"/>
  <c r="B23" i="103"/>
  <c r="B51" i="103"/>
  <c r="B127" i="103"/>
  <c r="AD46" i="99"/>
  <c r="AP60" i="99"/>
  <c r="O27" i="84"/>
  <c r="O26" i="84" s="1"/>
  <c r="O61" i="84" s="1"/>
  <c r="J25" i="98"/>
  <c r="L25" i="98" s="1"/>
  <c r="E22" i="104"/>
  <c r="E7" i="103"/>
  <c r="E11" i="103"/>
  <c r="B131" i="103"/>
  <c r="B17" i="104"/>
  <c r="K18" i="105"/>
  <c r="J23" i="98"/>
  <c r="L23" i="98" s="1"/>
  <c r="AV53" i="99"/>
  <c r="AD60" i="99"/>
  <c r="AB57" i="101"/>
  <c r="AB42" i="101" s="1"/>
  <c r="AP60" i="101"/>
  <c r="F29" i="89"/>
  <c r="AS16" i="94"/>
  <c r="AW16" i="94" s="1"/>
  <c r="BD16" i="94" s="1"/>
  <c r="AP49" i="99"/>
  <c r="AV50" i="99"/>
  <c r="Z60" i="99"/>
  <c r="Z42" i="99" s="1"/>
  <c r="Z64" i="99" s="1"/>
  <c r="AK60" i="99"/>
  <c r="AK42" i="99" s="1"/>
  <c r="AV50" i="101"/>
  <c r="AP52" i="101"/>
  <c r="AD63" i="101"/>
  <c r="AD60" i="101" s="1"/>
  <c r="B14" i="103"/>
  <c r="E17" i="103"/>
  <c r="B121" i="103"/>
  <c r="B130" i="103"/>
  <c r="F22" i="59"/>
  <c r="F52" i="59"/>
  <c r="F64" i="59"/>
  <c r="H64" i="59" s="1"/>
  <c r="E79" i="59"/>
  <c r="J19" i="98"/>
  <c r="L19" i="98" s="1"/>
  <c r="F22" i="98"/>
  <c r="H22" i="98" s="1"/>
  <c r="J22" i="98" s="1"/>
  <c r="L22" i="98" s="1"/>
  <c r="BG22" i="99"/>
  <c r="BI22" i="99" s="1"/>
  <c r="P60" i="99"/>
  <c r="AV63" i="101"/>
  <c r="AV60" i="101" s="1"/>
  <c r="E12" i="103"/>
  <c r="E13" i="103"/>
  <c r="B14" i="104"/>
  <c r="B24" i="104"/>
  <c r="E17" i="105"/>
  <c r="E18" i="105"/>
  <c r="E24" i="105"/>
  <c r="AM58" i="99"/>
  <c r="AM57" i="99" s="1"/>
  <c r="AT15" i="101"/>
  <c r="AT6" i="101" s="1"/>
  <c r="G6" i="103"/>
  <c r="F21" i="98"/>
  <c r="H21" i="98" s="1"/>
  <c r="J21" i="98" s="1"/>
  <c r="L21" i="98" s="1"/>
  <c r="AV51" i="101"/>
  <c r="AX51" i="101" s="1"/>
  <c r="AT42" i="101"/>
  <c r="G43" i="109"/>
  <c r="M43" i="109" s="1"/>
  <c r="B11" i="103"/>
  <c r="E11" i="104"/>
  <c r="E14" i="104"/>
  <c r="E19" i="104"/>
  <c r="E21" i="104"/>
  <c r="B8" i="105"/>
  <c r="B15" i="105"/>
  <c r="B18" i="105"/>
  <c r="K24" i="105"/>
  <c r="F77" i="105"/>
  <c r="BA16" i="94"/>
  <c r="BC16" i="94" s="1"/>
  <c r="BJ16" i="94" s="1"/>
  <c r="G21" i="76"/>
  <c r="BD27" i="88"/>
  <c r="N16" i="76"/>
  <c r="U5" i="88"/>
  <c r="V6" i="88"/>
  <c r="I17" i="76"/>
  <c r="O17" i="76"/>
  <c r="M17" i="76"/>
  <c r="N29" i="77"/>
  <c r="O17" i="77"/>
  <c r="M5" i="88"/>
  <c r="N6" i="88"/>
  <c r="E5" i="90"/>
  <c r="G5" i="90" s="1"/>
  <c r="E34" i="90" s="1"/>
  <c r="G6" i="90"/>
  <c r="O16" i="77"/>
  <c r="O29" i="77" s="1"/>
  <c r="M29" i="77"/>
  <c r="L17" i="76"/>
  <c r="AQ5" i="88"/>
  <c r="AK5" i="88"/>
  <c r="AL5" i="88" s="1"/>
  <c r="AL6" i="88"/>
  <c r="AY6" i="88"/>
  <c r="AV5" i="88"/>
  <c r="AY5" i="88" s="1"/>
  <c r="AD6" i="90"/>
  <c r="AE12" i="90"/>
  <c r="N15" i="76"/>
  <c r="Z6" i="88"/>
  <c r="D26" i="84"/>
  <c r="D68" i="84" s="1"/>
  <c r="V5" i="88"/>
  <c r="U32" i="89"/>
  <c r="AE7" i="90"/>
  <c r="X6" i="90"/>
  <c r="V5" i="90"/>
  <c r="X5" i="90" s="1"/>
  <c r="V34" i="90" s="1"/>
  <c r="F46" i="77"/>
  <c r="Z5" i="88"/>
  <c r="BD11" i="88"/>
  <c r="Z53" i="89"/>
  <c r="P5" i="90"/>
  <c r="N34" i="90" s="1"/>
  <c r="K6" i="90"/>
  <c r="M7" i="90"/>
  <c r="AU6" i="88"/>
  <c r="AR5" i="88"/>
  <c r="U41" i="89"/>
  <c r="E61" i="89"/>
  <c r="Q61" i="89"/>
  <c r="E38" i="76"/>
  <c r="L49" i="84"/>
  <c r="N58" i="84"/>
  <c r="W58" i="84" s="1"/>
  <c r="X58" i="84" s="1"/>
  <c r="M58" i="84"/>
  <c r="B26" i="59"/>
  <c r="B10" i="61" s="1"/>
  <c r="F53" i="59"/>
  <c r="G53" i="59" s="1"/>
  <c r="C80" i="59"/>
  <c r="N17" i="76"/>
  <c r="I26" i="76"/>
  <c r="H27" i="76"/>
  <c r="L27" i="76" s="1"/>
  <c r="G28" i="76"/>
  <c r="L28" i="76" s="1"/>
  <c r="E54" i="76"/>
  <c r="D43" i="77"/>
  <c r="D45" i="77"/>
  <c r="D47" i="77"/>
  <c r="F47" i="77" s="1"/>
  <c r="D49" i="77"/>
  <c r="N20" i="88"/>
  <c r="V20" i="88"/>
  <c r="M34" i="89"/>
  <c r="U40" i="89"/>
  <c r="N45" i="89"/>
  <c r="N41" i="89" s="1"/>
  <c r="H49" i="89"/>
  <c r="H61" i="89" s="1"/>
  <c r="M50" i="89"/>
  <c r="M49" i="89" s="1"/>
  <c r="Z52" i="89"/>
  <c r="Z6" i="90"/>
  <c r="Z5" i="90" s="1"/>
  <c r="AA5" i="90" s="1"/>
  <c r="Y34" i="90" s="1"/>
  <c r="AD9" i="90"/>
  <c r="AE9" i="90" s="1"/>
  <c r="X52" i="84"/>
  <c r="H29" i="83"/>
  <c r="H22" i="83" s="1"/>
  <c r="N35" i="83"/>
  <c r="D35" i="83" s="1"/>
  <c r="M16" i="82"/>
  <c r="H23" i="82"/>
  <c r="E22" i="82"/>
  <c r="BH16" i="94"/>
  <c r="F54" i="76"/>
  <c r="E43" i="77"/>
  <c r="BA6" i="88"/>
  <c r="U30" i="89"/>
  <c r="N34" i="89"/>
  <c r="X38" i="89"/>
  <c r="M43" i="89"/>
  <c r="M41" i="89" s="1"/>
  <c r="M48" i="89"/>
  <c r="N50" i="89"/>
  <c r="H6" i="90"/>
  <c r="P6" i="90"/>
  <c r="M8" i="90"/>
  <c r="AE8" i="90" s="1"/>
  <c r="G11" i="90"/>
  <c r="T30" i="84"/>
  <c r="T37" i="84"/>
  <c r="T33" i="84" s="1"/>
  <c r="D33" i="84"/>
  <c r="M51" i="84"/>
  <c r="L23" i="82"/>
  <c r="L22" i="82" s="1"/>
  <c r="H11" i="98"/>
  <c r="J11" i="98" s="1"/>
  <c r="L11" i="98" s="1"/>
  <c r="F17" i="98"/>
  <c r="H17" i="98" s="1"/>
  <c r="J17" i="98" s="1"/>
  <c r="L17" i="98" s="1"/>
  <c r="E26" i="98"/>
  <c r="F24" i="98"/>
  <c r="H24" i="98" s="1"/>
  <c r="J24" i="98" s="1"/>
  <c r="L24" i="98" s="1"/>
  <c r="K8" i="98"/>
  <c r="K13" i="98" s="1"/>
  <c r="K27" i="98" s="1"/>
  <c r="AS8" i="94"/>
  <c r="AM4" i="94"/>
  <c r="BB14" i="94"/>
  <c r="R14" i="94"/>
  <c r="L13" i="94"/>
  <c r="L4" i="94" s="1"/>
  <c r="AU16" i="94"/>
  <c r="BA17" i="94"/>
  <c r="BC17" i="94" s="1"/>
  <c r="BA18" i="94"/>
  <c r="BA20" i="94"/>
  <c r="BC20" i="94" s="1"/>
  <c r="AY50" i="99"/>
  <c r="AZ50" i="99" s="1"/>
  <c r="F9" i="101"/>
  <c r="BA9" i="101"/>
  <c r="H46" i="59"/>
  <c r="G10" i="76"/>
  <c r="E29" i="76"/>
  <c r="AY20" i="88"/>
  <c r="R33" i="89"/>
  <c r="R26" i="89" s="1"/>
  <c r="R61" i="89" s="1"/>
  <c r="T32" i="84"/>
  <c r="G61" i="84"/>
  <c r="L45" i="83"/>
  <c r="K45" i="83"/>
  <c r="K57" i="83" s="1"/>
  <c r="N51" i="83"/>
  <c r="AA4" i="94"/>
  <c r="AS4" i="94"/>
  <c r="BI15" i="94"/>
  <c r="BC15" i="94"/>
  <c r="BJ15" i="94" s="1"/>
  <c r="AL16" i="94"/>
  <c r="E13" i="94"/>
  <c r="F13" i="94" s="1"/>
  <c r="H13" i="94" s="1"/>
  <c r="BA19" i="94"/>
  <c r="BC19" i="94" s="1"/>
  <c r="BA21" i="94"/>
  <c r="BC21" i="94" s="1"/>
  <c r="G22" i="59"/>
  <c r="E20" i="59"/>
  <c r="E9" i="61" s="1"/>
  <c r="F14" i="76"/>
  <c r="G14" i="76" s="1"/>
  <c r="D18" i="76"/>
  <c r="F18" i="76" s="1"/>
  <c r="E49" i="77" s="1"/>
  <c r="E44" i="77" s="1"/>
  <c r="E50" i="77" s="1"/>
  <c r="C8" i="77" s="1"/>
  <c r="X36" i="89"/>
  <c r="Z56" i="89"/>
  <c r="Z58" i="89"/>
  <c r="Z59" i="89"/>
  <c r="Z60" i="89"/>
  <c r="D49" i="84"/>
  <c r="X51" i="84"/>
  <c r="H57" i="83"/>
  <c r="BA14" i="94"/>
  <c r="T16" i="94"/>
  <c r="AS18" i="94"/>
  <c r="BG16" i="94"/>
  <c r="I27" i="76"/>
  <c r="D48" i="77"/>
  <c r="F48" i="77" s="1"/>
  <c r="W26" i="89"/>
  <c r="W61" i="89" s="1"/>
  <c r="M40" i="89"/>
  <c r="L49" i="89"/>
  <c r="C6" i="90"/>
  <c r="C5" i="90" s="1"/>
  <c r="C34" i="90" s="1"/>
  <c r="AE25" i="90"/>
  <c r="AE28" i="90"/>
  <c r="N33" i="84"/>
  <c r="S41" i="84"/>
  <c r="T43" i="84"/>
  <c r="T41" i="84" s="1"/>
  <c r="N49" i="84"/>
  <c r="L37" i="83"/>
  <c r="N38" i="83"/>
  <c r="N37" i="83" s="1"/>
  <c r="I57" i="83"/>
  <c r="N47" i="83"/>
  <c r="I9" i="82"/>
  <c r="I29" i="82" s="1"/>
  <c r="D22" i="82"/>
  <c r="H26" i="98"/>
  <c r="J16" i="98"/>
  <c r="F18" i="98"/>
  <c r="H18" i="98" s="1"/>
  <c r="J18" i="98" s="1"/>
  <c r="L18" i="98" s="1"/>
  <c r="AJ7" i="94"/>
  <c r="AW15" i="94"/>
  <c r="BD15" i="94" s="1"/>
  <c r="BH15" i="94"/>
  <c r="F21" i="94"/>
  <c r="H21" i="94" s="1"/>
  <c r="AX49" i="94"/>
  <c r="AY49" i="94" s="1"/>
  <c r="AV49" i="94"/>
  <c r="T49" i="94"/>
  <c r="N27" i="76"/>
  <c r="O6" i="88"/>
  <c r="X32" i="89"/>
  <c r="Z51" i="89"/>
  <c r="Z55" i="89"/>
  <c r="S49" i="84"/>
  <c r="H8" i="82"/>
  <c r="J20" i="98"/>
  <c r="L20" i="98" s="1"/>
  <c r="AW8" i="94"/>
  <c r="AJ14" i="94"/>
  <c r="AJ13" i="94" s="1"/>
  <c r="AJ17" i="94"/>
  <c r="F19" i="94"/>
  <c r="H19" i="94" s="1"/>
  <c r="S47" i="94"/>
  <c r="T47" i="94" s="1"/>
  <c r="F9" i="99"/>
  <c r="AX15" i="94"/>
  <c r="AY15" i="94" s="1"/>
  <c r="T15" i="94"/>
  <c r="F65" i="59"/>
  <c r="H65" i="59" s="1"/>
  <c r="C8" i="76"/>
  <c r="G8" i="76" s="1"/>
  <c r="T41" i="89"/>
  <c r="M40" i="84"/>
  <c r="M33" i="84" s="1"/>
  <c r="K33" i="84"/>
  <c r="K26" i="84" s="1"/>
  <c r="K61" i="84" s="1"/>
  <c r="P61" i="84"/>
  <c r="U49" i="84"/>
  <c r="X53" i="84"/>
  <c r="L23" i="83"/>
  <c r="N26" i="83"/>
  <c r="N23" i="83" s="1"/>
  <c r="M57" i="83"/>
  <c r="M17" i="82"/>
  <c r="AW6" i="94"/>
  <c r="AF4" i="94"/>
  <c r="G7" i="98"/>
  <c r="H7" i="98" s="1"/>
  <c r="J7" i="98" s="1"/>
  <c r="L7" i="98" s="1"/>
  <c r="N42" i="84"/>
  <c r="N41" i="84" s="1"/>
  <c r="J49" i="84"/>
  <c r="J61" i="84" s="1"/>
  <c r="C22" i="82"/>
  <c r="C29" i="82" s="1"/>
  <c r="R20" i="94"/>
  <c r="R22" i="94"/>
  <c r="BB22" i="94"/>
  <c r="R41" i="94"/>
  <c r="AW41" i="94" s="1"/>
  <c r="H12" i="99"/>
  <c r="E12" i="99"/>
  <c r="BM18" i="99"/>
  <c r="H19" i="99"/>
  <c r="E19" i="99"/>
  <c r="E26" i="99"/>
  <c r="BC35" i="99"/>
  <c r="F35" i="99"/>
  <c r="H35" i="99" s="1"/>
  <c r="AM37" i="99"/>
  <c r="AI26" i="99"/>
  <c r="BC38" i="99"/>
  <c r="BB38" i="99"/>
  <c r="W38" i="99"/>
  <c r="BA39" i="99"/>
  <c r="H43" i="99"/>
  <c r="AY45" i="99"/>
  <c r="AZ45" i="99" s="1"/>
  <c r="BB51" i="99"/>
  <c r="BC51" i="99" s="1"/>
  <c r="AY51" i="99"/>
  <c r="X27" i="90"/>
  <c r="AE27" i="90" s="1"/>
  <c r="L33" i="84"/>
  <c r="L26" i="84" s="1"/>
  <c r="W50" i="84"/>
  <c r="X50" i="84" s="1"/>
  <c r="L29" i="83"/>
  <c r="AD13" i="94"/>
  <c r="AD4" i="94" s="1"/>
  <c r="F15" i="94"/>
  <c r="H15" i="94" s="1"/>
  <c r="AV15" i="94" s="1"/>
  <c r="BA10" i="99"/>
  <c r="F17" i="99"/>
  <c r="H17" i="99" s="1"/>
  <c r="AY17" i="99" s="1"/>
  <c r="AZ17" i="99" s="1"/>
  <c r="AF17" i="99"/>
  <c r="BP18" i="99"/>
  <c r="AV25" i="99"/>
  <c r="L25" i="99" s="1"/>
  <c r="N25" i="99" s="1"/>
  <c r="AP15" i="99"/>
  <c r="AP6" i="99" s="1"/>
  <c r="BC27" i="99"/>
  <c r="BC39" i="99"/>
  <c r="BB39" i="99"/>
  <c r="W39" i="99"/>
  <c r="BA40" i="99"/>
  <c r="W48" i="99"/>
  <c r="AF50" i="99"/>
  <c r="AC5" i="94"/>
  <c r="AI13" i="94"/>
  <c r="AA17" i="94"/>
  <c r="F17" i="94" s="1"/>
  <c r="H17" i="94" s="1"/>
  <c r="AW25" i="94"/>
  <c r="T25" i="94"/>
  <c r="AY38" i="94"/>
  <c r="AV47" i="94"/>
  <c r="AW49" i="94"/>
  <c r="AX52" i="94"/>
  <c r="AY52" i="94" s="1"/>
  <c r="AV61" i="94"/>
  <c r="H58" i="94"/>
  <c r="L8" i="99"/>
  <c r="N8" i="99" s="1"/>
  <c r="AX8" i="99"/>
  <c r="AB6" i="99"/>
  <c r="AD9" i="99"/>
  <c r="BK17" i="99"/>
  <c r="BN18" i="99"/>
  <c r="BC40" i="99"/>
  <c r="BB40" i="99"/>
  <c r="W40" i="99"/>
  <c r="V32" i="84"/>
  <c r="T40" i="84"/>
  <c r="M45" i="84"/>
  <c r="M41" i="84" s="1"/>
  <c r="M54" i="84"/>
  <c r="M55" i="84"/>
  <c r="N46" i="83"/>
  <c r="B9" i="82"/>
  <c r="D9" i="82" s="1"/>
  <c r="AA18" i="94"/>
  <c r="AS19" i="94"/>
  <c r="AW19" i="94" s="1"/>
  <c r="BD19" i="94" s="1"/>
  <c r="AS20" i="94"/>
  <c r="AJ21" i="94"/>
  <c r="AW21" i="94" s="1"/>
  <c r="BD21" i="94" s="1"/>
  <c r="AV46" i="94"/>
  <c r="AL49" i="94"/>
  <c r="M84" i="94"/>
  <c r="H13" i="99"/>
  <c r="E13" i="99"/>
  <c r="F18" i="99"/>
  <c r="BA18" i="99"/>
  <c r="U15" i="99"/>
  <c r="U6" i="99" s="1"/>
  <c r="AO18" i="99"/>
  <c r="H20" i="99"/>
  <c r="E20" i="99"/>
  <c r="BB27" i="99"/>
  <c r="BA29" i="99"/>
  <c r="U28" i="99"/>
  <c r="BC41" i="99"/>
  <c r="BB41" i="99"/>
  <c r="W41" i="99"/>
  <c r="AD46" i="101"/>
  <c r="Z42" i="101"/>
  <c r="V29" i="84"/>
  <c r="V34" i="84"/>
  <c r="Q13" i="94"/>
  <c r="BB18" i="94"/>
  <c r="AW26" i="94"/>
  <c r="R24" i="94"/>
  <c r="AU36" i="94"/>
  <c r="AC46" i="94"/>
  <c r="AC47" i="94"/>
  <c r="AU48" i="94"/>
  <c r="AU52" i="94"/>
  <c r="O58" i="94"/>
  <c r="AX61" i="94"/>
  <c r="AY61" i="94" s="1"/>
  <c r="Q84" i="94"/>
  <c r="BI16" i="99"/>
  <c r="AW18" i="99"/>
  <c r="AX18" i="99" s="1"/>
  <c r="AM53" i="99"/>
  <c r="AM52" i="99" s="1"/>
  <c r="AG52" i="99"/>
  <c r="AG42" i="99" s="1"/>
  <c r="U52" i="99"/>
  <c r="W54" i="99"/>
  <c r="BJ18" i="101"/>
  <c r="BP18" i="101"/>
  <c r="M32" i="84"/>
  <c r="M27" i="84" s="1"/>
  <c r="BA22" i="94"/>
  <c r="AV48" i="94"/>
  <c r="BC7" i="99"/>
  <c r="K8" i="99"/>
  <c r="H11" i="99"/>
  <c r="E11" i="99"/>
  <c r="H14" i="99"/>
  <c r="E14" i="99"/>
  <c r="W17" i="99"/>
  <c r="H23" i="99"/>
  <c r="AM46" i="99"/>
  <c r="AI42" i="99"/>
  <c r="AO50" i="99"/>
  <c r="AN49" i="99"/>
  <c r="AO49" i="99" s="1"/>
  <c r="AZ51" i="99"/>
  <c r="E9" i="82"/>
  <c r="H9" i="82" s="1"/>
  <c r="AE13" i="94"/>
  <c r="BA23" i="94"/>
  <c r="BC23" i="94" s="1"/>
  <c r="AA23" i="94"/>
  <c r="F23" i="94" s="1"/>
  <c r="H23" i="94" s="1"/>
  <c r="F24" i="94"/>
  <c r="H24" i="94" s="1"/>
  <c r="H33" i="94"/>
  <c r="AW37" i="94"/>
  <c r="AX46" i="94"/>
  <c r="AY46" i="94" s="1"/>
  <c r="H69" i="94"/>
  <c r="I5" i="99"/>
  <c r="K16" i="99"/>
  <c r="K15" i="99" s="1"/>
  <c r="H16" i="99"/>
  <c r="BA21" i="99"/>
  <c r="F21" i="99"/>
  <c r="AY48" i="99"/>
  <c r="BB50" i="99"/>
  <c r="BC50" i="99" s="1"/>
  <c r="AX38" i="94"/>
  <c r="E84" i="94"/>
  <c r="AM9" i="99"/>
  <c r="BA9" i="99" s="1"/>
  <c r="AM15" i="99"/>
  <c r="I18" i="99"/>
  <c r="K18" i="99" s="1"/>
  <c r="V18" i="99"/>
  <c r="W18" i="99" s="1"/>
  <c r="BA20" i="99"/>
  <c r="BA27" i="99"/>
  <c r="BA30" i="99"/>
  <c r="BF17" i="101"/>
  <c r="BO17" i="101"/>
  <c r="BF38" i="101"/>
  <c r="BC38" i="101"/>
  <c r="BB38" i="101"/>
  <c r="BA39" i="101"/>
  <c r="W39" i="101"/>
  <c r="AY51" i="101"/>
  <c r="AF51" i="101"/>
  <c r="J60" i="101"/>
  <c r="K62" i="101"/>
  <c r="T33" i="89"/>
  <c r="F55" i="94"/>
  <c r="F5" i="99"/>
  <c r="AY7" i="99"/>
  <c r="AZ7" i="99" s="1"/>
  <c r="F8" i="99"/>
  <c r="E10" i="99"/>
  <c r="AV23" i="99"/>
  <c r="G49" i="99"/>
  <c r="AY54" i="99"/>
  <c r="AZ55" i="99"/>
  <c r="AT60" i="99"/>
  <c r="AT42" i="99" s="1"/>
  <c r="AV63" i="99"/>
  <c r="AX63" i="99" s="1"/>
  <c r="E23" i="101"/>
  <c r="BK23" i="101" s="1"/>
  <c r="H23" i="101"/>
  <c r="BA27" i="101"/>
  <c r="W27" i="101"/>
  <c r="H35" i="101"/>
  <c r="F26" i="101"/>
  <c r="H26" i="101" s="1"/>
  <c r="BB47" i="101"/>
  <c r="T86" i="101"/>
  <c r="AG13" i="108"/>
  <c r="BL17" i="99"/>
  <c r="BO18" i="99"/>
  <c r="F20" i="101"/>
  <c r="F15" i="101" s="1"/>
  <c r="U15" i="101"/>
  <c r="U6" i="101" s="1"/>
  <c r="AM15" i="101"/>
  <c r="I20" i="101"/>
  <c r="K20" i="101" s="1"/>
  <c r="E21" i="101"/>
  <c r="N21" i="101"/>
  <c r="H24" i="101"/>
  <c r="AM52" i="101"/>
  <c r="W54" i="101"/>
  <c r="U86" i="101"/>
  <c r="T33" i="94"/>
  <c r="F35" i="94"/>
  <c r="H42" i="94"/>
  <c r="H41" i="94" s="1"/>
  <c r="T48" i="94"/>
  <c r="BA7" i="99"/>
  <c r="BD7" i="99" s="1"/>
  <c r="AH15" i="99"/>
  <c r="AH6" i="99" s="1"/>
  <c r="BA19" i="99"/>
  <c r="H33" i="99"/>
  <c r="AR49" i="99"/>
  <c r="AR42" i="99" s="1"/>
  <c r="BA55" i="99"/>
  <c r="BD55" i="99" s="1"/>
  <c r="BE55" i="99" s="1"/>
  <c r="W55" i="99"/>
  <c r="J60" i="99"/>
  <c r="K60" i="99" s="1"/>
  <c r="K62" i="99"/>
  <c r="O2" i="101"/>
  <c r="Q2" i="101" s="1"/>
  <c r="L2" i="101"/>
  <c r="L5" i="101" s="1"/>
  <c r="N5" i="101" s="1"/>
  <c r="H19" i="101"/>
  <c r="E19" i="101"/>
  <c r="BK19" i="101" s="1"/>
  <c r="AO48" i="101"/>
  <c r="L49" i="101"/>
  <c r="N49" i="101" s="1"/>
  <c r="N50" i="101"/>
  <c r="AE14" i="108"/>
  <c r="U14" i="108"/>
  <c r="W14" i="108" s="1"/>
  <c r="Y14" i="108" s="1"/>
  <c r="AA14" i="108" s="1"/>
  <c r="AC14" i="108" s="1"/>
  <c r="U19" i="108"/>
  <c r="W19" i="108" s="1"/>
  <c r="Y19" i="108" s="1"/>
  <c r="AA19" i="108" s="1"/>
  <c r="AC19" i="108" s="1"/>
  <c r="AE19" i="108"/>
  <c r="AE28" i="108"/>
  <c r="S27" i="108"/>
  <c r="AE27" i="108" s="1"/>
  <c r="U28" i="108"/>
  <c r="T39" i="94"/>
  <c r="AW53" i="94"/>
  <c r="O64" i="99"/>
  <c r="AD15" i="99"/>
  <c r="R15" i="99"/>
  <c r="AV16" i="99"/>
  <c r="L16" i="99" s="1"/>
  <c r="N16" i="99" s="1"/>
  <c r="E59" i="99"/>
  <c r="I57" i="99"/>
  <c r="K57" i="99" s="1"/>
  <c r="K59" i="99"/>
  <c r="AM6" i="101"/>
  <c r="I9" i="101"/>
  <c r="BJ20" i="101"/>
  <c r="AR15" i="101"/>
  <c r="AR6" i="101" s="1"/>
  <c r="BH24" i="101"/>
  <c r="BJ24" i="101" s="1"/>
  <c r="AV24" i="101"/>
  <c r="L24" i="101" s="1"/>
  <c r="N24" i="101" s="1"/>
  <c r="BB40" i="101"/>
  <c r="W51" i="101"/>
  <c r="AO51" i="101"/>
  <c r="AY54" i="101"/>
  <c r="AZ54" i="101" s="1"/>
  <c r="AE9" i="108"/>
  <c r="U9" i="108"/>
  <c r="W9" i="108" s="1"/>
  <c r="Y9" i="108" s="1"/>
  <c r="AA9" i="108" s="1"/>
  <c r="AC9" i="108" s="1"/>
  <c r="Q64" i="99"/>
  <c r="T15" i="99"/>
  <c r="T6" i="99" s="1"/>
  <c r="AL15" i="99"/>
  <c r="F25" i="99"/>
  <c r="AV46" i="99"/>
  <c r="AP52" i="99"/>
  <c r="AV54" i="99"/>
  <c r="AX54" i="99" s="1"/>
  <c r="H58" i="99"/>
  <c r="H57" i="99" s="1"/>
  <c r="AV58" i="99"/>
  <c r="L58" i="99" s="1"/>
  <c r="AP57" i="99"/>
  <c r="F10" i="101"/>
  <c r="BI26" i="101"/>
  <c r="BM17" i="101"/>
  <c r="BN17" i="101" s="1"/>
  <c r="AX18" i="101"/>
  <c r="BH25" i="101"/>
  <c r="BJ25" i="101" s="1"/>
  <c r="BA41" i="101"/>
  <c r="V49" i="101"/>
  <c r="AN50" i="101"/>
  <c r="BF50" i="101" s="1"/>
  <c r="AE16" i="108"/>
  <c r="S15" i="108"/>
  <c r="AE15" i="108" s="1"/>
  <c r="U16" i="108"/>
  <c r="E31" i="108"/>
  <c r="E30" i="108"/>
  <c r="F32" i="108"/>
  <c r="H32" i="108" s="1"/>
  <c r="AE50" i="108"/>
  <c r="U50" i="108"/>
  <c r="W50" i="108" s="1"/>
  <c r="Y50" i="108" s="1"/>
  <c r="AA50" i="108" s="1"/>
  <c r="AC50" i="108" s="1"/>
  <c r="AW46" i="99"/>
  <c r="BA16" i="101"/>
  <c r="BK16" i="101" s="1"/>
  <c r="K17" i="101"/>
  <c r="BF18" i="101"/>
  <c r="BB18" i="101"/>
  <c r="AO47" i="101"/>
  <c r="AZ51" i="101"/>
  <c r="AW51" i="101"/>
  <c r="BF51" i="101" s="1"/>
  <c r="BA55" i="101"/>
  <c r="K60" i="101"/>
  <c r="K64" i="101" s="1"/>
  <c r="AE26" i="108"/>
  <c r="U26" i="108"/>
  <c r="W26" i="108" s="1"/>
  <c r="Y26" i="108" s="1"/>
  <c r="AA26" i="108" s="1"/>
  <c r="AL15" i="101"/>
  <c r="AL6" i="101" s="1"/>
  <c r="BH22" i="101"/>
  <c r="BJ22" i="101" s="1"/>
  <c r="BF30" i="101"/>
  <c r="W38" i="101"/>
  <c r="BF40" i="101"/>
  <c r="BC41" i="101"/>
  <c r="BB55" i="101"/>
  <c r="BC55" i="101" s="1"/>
  <c r="U13" i="108"/>
  <c r="W13" i="108" s="1"/>
  <c r="Y13" i="108" s="1"/>
  <c r="AA13" i="108" s="1"/>
  <c r="AC13" i="108" s="1"/>
  <c r="AE17" i="108"/>
  <c r="W7" i="101"/>
  <c r="H16" i="101"/>
  <c r="E18" i="101"/>
  <c r="BA18" i="101"/>
  <c r="F25" i="101"/>
  <c r="AV25" i="101"/>
  <c r="L25" i="101" s="1"/>
  <c r="N25" i="101" s="1"/>
  <c r="BF41" i="101"/>
  <c r="AV46" i="101"/>
  <c r="G49" i="101"/>
  <c r="P52" i="101"/>
  <c r="V53" i="108"/>
  <c r="E10" i="41"/>
  <c r="F11" i="41"/>
  <c r="G38" i="41"/>
  <c r="K38" i="41"/>
  <c r="E86" i="99"/>
  <c r="BF7" i="101"/>
  <c r="BA10" i="101"/>
  <c r="Y15" i="101"/>
  <c r="Y6" i="101" s="1"/>
  <c r="Z64" i="101"/>
  <c r="Z53" i="108"/>
  <c r="D41" i="41"/>
  <c r="F22" i="41"/>
  <c r="F46" i="41"/>
  <c r="F58" i="41"/>
  <c r="F33" i="109"/>
  <c r="B18" i="109"/>
  <c r="Q18" i="77"/>
  <c r="AY7" i="101"/>
  <c r="AZ7" i="101" s="1"/>
  <c r="E8" i="101"/>
  <c r="E11" i="101"/>
  <c r="E13" i="101"/>
  <c r="E14" i="101"/>
  <c r="BL18" i="101"/>
  <c r="BN18" i="101" s="1"/>
  <c r="W35" i="101"/>
  <c r="H44" i="101"/>
  <c r="H43" i="101" s="1"/>
  <c r="AM46" i="101"/>
  <c r="W55" i="101"/>
  <c r="BF63" i="101"/>
  <c r="AB53" i="108"/>
  <c r="R53" i="108"/>
  <c r="F23" i="41"/>
  <c r="F25" i="41" s="1"/>
  <c r="G36" i="41"/>
  <c r="K36" i="41"/>
  <c r="AV20" i="101"/>
  <c r="L20" i="101" s="1"/>
  <c r="N20" i="101" s="1"/>
  <c r="U52" i="101"/>
  <c r="AE49" i="108"/>
  <c r="U49" i="108"/>
  <c r="S48" i="108"/>
  <c r="B8" i="41"/>
  <c r="O11" i="41"/>
  <c r="F9" i="41"/>
  <c r="V30" i="84"/>
  <c r="BB39" i="101"/>
  <c r="AV53" i="101"/>
  <c r="BA53" i="101" s="1"/>
  <c r="AM58" i="101"/>
  <c r="AM57" i="101" s="1"/>
  <c r="AX63" i="101"/>
  <c r="AD53" i="108"/>
  <c r="AA45" i="108"/>
  <c r="E8" i="41"/>
  <c r="D45" i="109"/>
  <c r="D51" i="109" s="1"/>
  <c r="G37" i="41"/>
  <c r="K37" i="41"/>
  <c r="AE47" i="108"/>
  <c r="B46" i="41"/>
  <c r="B58" i="41"/>
  <c r="F9" i="109"/>
  <c r="E8" i="109"/>
  <c r="E7" i="109" s="1"/>
  <c r="E14" i="41"/>
  <c r="C18" i="41"/>
  <c r="C17" i="41" s="1"/>
  <c r="C16" i="41" s="1"/>
  <c r="C41" i="41" s="1"/>
  <c r="F26" i="41"/>
  <c r="F54" i="41"/>
  <c r="F52" i="41" s="1"/>
  <c r="E19" i="109"/>
  <c r="E18" i="41"/>
  <c r="F27" i="41"/>
  <c r="L27" i="41" s="1"/>
  <c r="B37" i="109"/>
  <c r="L41" i="109"/>
  <c r="F47" i="109"/>
  <c r="I18" i="81"/>
  <c r="AG26" i="108"/>
  <c r="F13" i="41"/>
  <c r="L44" i="109"/>
  <c r="V35" i="84"/>
  <c r="Q24" i="77"/>
  <c r="D79" i="59"/>
  <c r="B47" i="103"/>
  <c r="F114" i="103"/>
  <c r="B76" i="105"/>
  <c r="B18" i="103"/>
  <c r="C81" i="103"/>
  <c r="C76" i="103" s="1"/>
  <c r="B154" i="104"/>
  <c r="E129" i="103"/>
  <c r="E128" i="103" s="1"/>
  <c r="E113" i="103" s="1"/>
  <c r="F128" i="103"/>
  <c r="C155" i="103"/>
  <c r="B166" i="103"/>
  <c r="B165" i="103" s="1"/>
  <c r="E39" i="104"/>
  <c r="B8" i="103"/>
  <c r="E41" i="103"/>
  <c r="E40" i="103" s="1"/>
  <c r="F40" i="103"/>
  <c r="F39" i="103" s="1"/>
  <c r="J6" i="54"/>
  <c r="B12" i="103"/>
  <c r="B17" i="103"/>
  <c r="B56" i="103"/>
  <c r="AD6" i="54"/>
  <c r="BH6" i="54"/>
  <c r="B42" i="103"/>
  <c r="B53" i="103"/>
  <c r="E8" i="104"/>
  <c r="B24" i="105"/>
  <c r="B14" i="105"/>
  <c r="B46" i="103"/>
  <c r="B49" i="103"/>
  <c r="B58" i="103"/>
  <c r="B122" i="103"/>
  <c r="K16" i="105"/>
  <c r="B16" i="105"/>
  <c r="E12" i="105"/>
  <c r="E14" i="105"/>
  <c r="E13" i="104"/>
  <c r="E15" i="104"/>
  <c r="B13" i="105"/>
  <c r="F57" i="59"/>
  <c r="H57" i="59" s="1"/>
  <c r="H22" i="59"/>
  <c r="G52" i="59"/>
  <c r="D20" i="59"/>
  <c r="D9" i="61" s="1"/>
  <c r="H21" i="59"/>
  <c r="E61" i="59"/>
  <c r="E73" i="59"/>
  <c r="F73" i="59" s="1"/>
  <c r="H73" i="59" s="1"/>
  <c r="L7" i="104"/>
  <c r="K22" i="104"/>
  <c r="F56" i="59"/>
  <c r="G56" i="59" s="1"/>
  <c r="F55" i="59"/>
  <c r="H55" i="59" s="1"/>
  <c r="AU60" i="99"/>
  <c r="F58" i="59"/>
  <c r="G58" i="59" s="1"/>
  <c r="F59" i="59"/>
  <c r="H59" i="59" s="1"/>
  <c r="G64" i="59"/>
  <c r="F39" i="89"/>
  <c r="U39" i="89" s="1"/>
  <c r="V39" i="89" s="1"/>
  <c r="F46" i="84"/>
  <c r="AH24" i="94"/>
  <c r="AK26" i="99"/>
  <c r="AH57" i="99"/>
  <c r="AS57" i="99"/>
  <c r="AS57" i="101"/>
  <c r="R60" i="101"/>
  <c r="R42" i="101" s="1"/>
  <c r="F8" i="109"/>
  <c r="F7" i="109" s="1"/>
  <c r="V46" i="99"/>
  <c r="AE46" i="99"/>
  <c r="AF46" i="99" s="1"/>
  <c r="E54" i="59"/>
  <c r="G81" i="104"/>
  <c r="E79" i="103"/>
  <c r="E95" i="103"/>
  <c r="E95" i="104"/>
  <c r="T9" i="108"/>
  <c r="AF9" i="108" s="1"/>
  <c r="O27" i="89"/>
  <c r="O26" i="89" s="1"/>
  <c r="O61" i="89" s="1"/>
  <c r="C6" i="103"/>
  <c r="B24" i="103"/>
  <c r="B120" i="103"/>
  <c r="B124" i="103"/>
  <c r="D10" i="105"/>
  <c r="D10" i="103"/>
  <c r="B48" i="103"/>
  <c r="E7" i="105"/>
  <c r="B17" i="105"/>
  <c r="B13" i="103"/>
  <c r="B45" i="103"/>
  <c r="B125" i="103"/>
  <c r="E167" i="103"/>
  <c r="B12" i="104"/>
  <c r="G10" i="104"/>
  <c r="E16" i="104"/>
  <c r="B7" i="105"/>
  <c r="E15" i="105"/>
  <c r="B19" i="105"/>
  <c r="AM60" i="101"/>
  <c r="AM42" i="101" s="1"/>
  <c r="BA62" i="101"/>
  <c r="BO17" i="99"/>
  <c r="BI17" i="99"/>
  <c r="BP17" i="99" s="1"/>
  <c r="AX50" i="99"/>
  <c r="BA50" i="99"/>
  <c r="BD50" i="99" s="1"/>
  <c r="BE50" i="99" s="1"/>
  <c r="AD57" i="99"/>
  <c r="AD42" i="99" s="1"/>
  <c r="AM60" i="99"/>
  <c r="BA62" i="99"/>
  <c r="BA22" i="99"/>
  <c r="L22" i="99"/>
  <c r="BA54" i="101"/>
  <c r="AX54" i="101"/>
  <c r="AD57" i="101"/>
  <c r="BP17" i="101"/>
  <c r="BH26" i="101"/>
  <c r="BJ26" i="101" s="1"/>
  <c r="BJ17" i="101"/>
  <c r="BQ17" i="101" s="1"/>
  <c r="AV17" i="101"/>
  <c r="AV22" i="101"/>
  <c r="AV58" i="101"/>
  <c r="AV17" i="99"/>
  <c r="BA63" i="99"/>
  <c r="AK60" i="101"/>
  <c r="AK42" i="101" s="1"/>
  <c r="BA51" i="99"/>
  <c r="AV48" i="99"/>
  <c r="AN9" i="101"/>
  <c r="AO9" i="101" s="1"/>
  <c r="AW10" i="101"/>
  <c r="AX10" i="101" s="1"/>
  <c r="S27" i="84"/>
  <c r="S26" i="84" s="1"/>
  <c r="S61" i="84" s="1"/>
  <c r="H64" i="84" s="1"/>
  <c r="T28" i="84"/>
  <c r="C51" i="59"/>
  <c r="C13" i="61" s="1"/>
  <c r="T28" i="89"/>
  <c r="K23" i="104"/>
  <c r="B23" i="104"/>
  <c r="C20" i="104"/>
  <c r="B63" i="59"/>
  <c r="B14" i="61" s="1"/>
  <c r="U28" i="84"/>
  <c r="U27" i="84" s="1"/>
  <c r="U26" i="84" s="1"/>
  <c r="U61" i="84" s="1"/>
  <c r="S57" i="94"/>
  <c r="T57" i="94" s="1"/>
  <c r="G20" i="103"/>
  <c r="E21" i="103"/>
  <c r="B132" i="103"/>
  <c r="C128" i="103"/>
  <c r="K16" i="104"/>
  <c r="B16" i="104"/>
  <c r="C10" i="104"/>
  <c r="C20" i="59"/>
  <c r="C9" i="61" s="1"/>
  <c r="C26" i="59"/>
  <c r="C10" i="61" s="1"/>
  <c r="C8" i="59"/>
  <c r="C8" i="61" s="1"/>
  <c r="B20" i="59"/>
  <c r="B9" i="61" s="1"/>
  <c r="T57" i="101"/>
  <c r="T42" i="101" s="1"/>
  <c r="F6" i="104"/>
  <c r="B22" i="105"/>
  <c r="B16" i="103"/>
  <c r="B22" i="103"/>
  <c r="E23" i="103"/>
  <c r="E24" i="103"/>
  <c r="D44" i="103"/>
  <c r="B57" i="103"/>
  <c r="B13" i="104"/>
  <c r="B22" i="104"/>
  <c r="L22" i="104"/>
  <c r="L7" i="105"/>
  <c r="G6" i="105"/>
  <c r="E19" i="105"/>
  <c r="L18" i="105"/>
  <c r="G10" i="103"/>
  <c r="D40" i="103"/>
  <c r="B8" i="104"/>
  <c r="F20" i="104"/>
  <c r="K13" i="104"/>
  <c r="L21" i="104"/>
  <c r="C6" i="105"/>
  <c r="E13" i="105"/>
  <c r="E23" i="105"/>
  <c r="E8" i="103"/>
  <c r="B15" i="103"/>
  <c r="E16" i="103"/>
  <c r="E19" i="103"/>
  <c r="E22" i="103"/>
  <c r="C54" i="103"/>
  <c r="E17" i="104"/>
  <c r="E18" i="104"/>
  <c r="G20" i="104"/>
  <c r="F6" i="105"/>
  <c r="B12" i="105"/>
  <c r="B23" i="105"/>
  <c r="AE33" i="101"/>
  <c r="AF33" i="101" s="1"/>
  <c r="V59" i="101"/>
  <c r="V55" i="94"/>
  <c r="V40" i="94" s="1"/>
  <c r="AL57" i="101"/>
  <c r="AJ60" i="101"/>
  <c r="V40" i="89"/>
  <c r="B116" i="103"/>
  <c r="C114" i="103"/>
  <c r="AA6" i="99"/>
  <c r="B7" i="103"/>
  <c r="D6" i="103"/>
  <c r="B119" i="103"/>
  <c r="C118" i="103"/>
  <c r="K25" i="76"/>
  <c r="N25" i="76" s="1"/>
  <c r="E22" i="105"/>
  <c r="F20" i="105"/>
  <c r="B7" i="104"/>
  <c r="C6" i="104"/>
  <c r="AQ57" i="99"/>
  <c r="G21" i="59"/>
  <c r="B51" i="59"/>
  <c r="B13" i="61" s="1"/>
  <c r="H52" i="59"/>
  <c r="C63" i="59"/>
  <c r="C14" i="61" s="1"/>
  <c r="AB19" i="94"/>
  <c r="AC19" i="94" s="1"/>
  <c r="AT19" i="94"/>
  <c r="AU19" i="94" s="1"/>
  <c r="AT20" i="94"/>
  <c r="AU20" i="94" s="1"/>
  <c r="AK21" i="94"/>
  <c r="AL21" i="94" s="1"/>
  <c r="Z55" i="94"/>
  <c r="AR55" i="94"/>
  <c r="AN8" i="99"/>
  <c r="AO8" i="99" s="1"/>
  <c r="AE11" i="99"/>
  <c r="AF11" i="99" s="1"/>
  <c r="BK24" i="99"/>
  <c r="AE24" i="99"/>
  <c r="AF24" i="99" s="1"/>
  <c r="AN24" i="99"/>
  <c r="AO24" i="99" s="1"/>
  <c r="AW25" i="99"/>
  <c r="AX25" i="99" s="1"/>
  <c r="Y57" i="101"/>
  <c r="AQ57" i="101"/>
  <c r="F6" i="103"/>
  <c r="F10" i="103"/>
  <c r="E15" i="103"/>
  <c r="B19" i="103"/>
  <c r="C20" i="103"/>
  <c r="B21" i="103"/>
  <c r="D20" i="103"/>
  <c r="C44" i="103"/>
  <c r="B52" i="103"/>
  <c r="D118" i="103"/>
  <c r="B55" i="103"/>
  <c r="D54" i="103"/>
  <c r="AU26" i="99"/>
  <c r="AT17" i="94"/>
  <c r="AU17" i="94" s="1"/>
  <c r="AR24" i="94"/>
  <c r="AE46" i="101"/>
  <c r="G34" i="41"/>
  <c r="C10" i="103"/>
  <c r="E18" i="103"/>
  <c r="F20" i="103"/>
  <c r="B41" i="103"/>
  <c r="B40" i="103" s="1"/>
  <c r="C40" i="103"/>
  <c r="B50" i="103"/>
  <c r="B123" i="103"/>
  <c r="B126" i="103"/>
  <c r="E7" i="104"/>
  <c r="G6" i="104"/>
  <c r="F10" i="104"/>
  <c r="B129" i="103"/>
  <c r="D128" i="103"/>
  <c r="B11" i="104"/>
  <c r="D10" i="104"/>
  <c r="L17" i="104"/>
  <c r="C10" i="105"/>
  <c r="K11" i="105"/>
  <c r="B11" i="105"/>
  <c r="B21" i="105"/>
  <c r="C20" i="105"/>
  <c r="K24" i="76"/>
  <c r="N24" i="76" s="1"/>
  <c r="B21" i="104"/>
  <c r="D20" i="104"/>
  <c r="K24" i="104"/>
  <c r="D20" i="105"/>
  <c r="D6" i="104"/>
  <c r="K17" i="104"/>
  <c r="B18" i="104"/>
  <c r="K18" i="104"/>
  <c r="B6" i="105"/>
  <c r="E11" i="105"/>
  <c r="F10" i="105"/>
  <c r="L17" i="105"/>
  <c r="K23" i="105"/>
  <c r="E12" i="104"/>
  <c r="B15" i="104"/>
  <c r="B19" i="104"/>
  <c r="E23" i="104"/>
  <c r="E24" i="104"/>
  <c r="E96" i="104"/>
  <c r="F91" i="104"/>
  <c r="E8" i="105"/>
  <c r="E6" i="105" s="1"/>
  <c r="G10" i="105"/>
  <c r="K15" i="105"/>
  <c r="E16" i="105"/>
  <c r="E21" i="105"/>
  <c r="G20" i="105"/>
  <c r="K22" i="76"/>
  <c r="N22" i="76" s="1"/>
  <c r="K11" i="104"/>
  <c r="K15" i="104"/>
  <c r="L18" i="104"/>
  <c r="L24" i="104"/>
  <c r="K14" i="105"/>
  <c r="K17" i="105"/>
  <c r="E97" i="105"/>
  <c r="K23" i="76"/>
  <c r="N23" i="76" s="1"/>
  <c r="K14" i="104"/>
  <c r="L15" i="104"/>
  <c r="L23" i="104"/>
  <c r="J23" i="104" s="1"/>
  <c r="K13" i="105"/>
  <c r="K22" i="105"/>
  <c r="H42" i="109"/>
  <c r="K42" i="109" s="1"/>
  <c r="E6" i="58"/>
  <c r="E39" i="59"/>
  <c r="E66" i="59"/>
  <c r="F66" i="59" s="1"/>
  <c r="G66" i="59" s="1"/>
  <c r="E71" i="59"/>
  <c r="F71" i="59" s="1"/>
  <c r="G71" i="59" s="1"/>
  <c r="F28" i="84"/>
  <c r="V28" i="84" s="1"/>
  <c r="X24" i="94"/>
  <c r="AG24" i="94"/>
  <c r="AW24" i="99"/>
  <c r="AX24" i="99" s="1"/>
  <c r="P26" i="99"/>
  <c r="Y26" i="99"/>
  <c r="AC26" i="99"/>
  <c r="P60" i="101"/>
  <c r="L43" i="109"/>
  <c r="J14" i="103"/>
  <c r="E92" i="104"/>
  <c r="E93" i="104"/>
  <c r="E94" i="104"/>
  <c r="E69" i="59"/>
  <c r="F43" i="84"/>
  <c r="AF24" i="94"/>
  <c r="AG55" i="94"/>
  <c r="Z58" i="94"/>
  <c r="AI58" i="94"/>
  <c r="AR58" i="94"/>
  <c r="K41" i="109"/>
  <c r="E169" i="103"/>
  <c r="F24" i="59"/>
  <c r="H24" i="59" s="1"/>
  <c r="D28" i="59"/>
  <c r="F28" i="59" s="1"/>
  <c r="H28" i="59" s="1"/>
  <c r="F29" i="59"/>
  <c r="H29" i="59" s="1"/>
  <c r="M24" i="94"/>
  <c r="AE24" i="94"/>
  <c r="AN24" i="94"/>
  <c r="S42" i="94"/>
  <c r="S41" i="94" s="1"/>
  <c r="AA44" i="94"/>
  <c r="AO40" i="94"/>
  <c r="R60" i="99"/>
  <c r="R42" i="99" s="1"/>
  <c r="AU6" i="101"/>
  <c r="AA26" i="101"/>
  <c r="E85" i="103"/>
  <c r="O8" i="109"/>
  <c r="B43" i="59"/>
  <c r="B12" i="61" s="1"/>
  <c r="C43" i="59"/>
  <c r="C12" i="61" s="1"/>
  <c r="B35" i="59"/>
  <c r="B11" i="61" s="1"/>
  <c r="C35" i="59"/>
  <c r="C11" i="61" s="1"/>
  <c r="G41" i="59"/>
  <c r="H44" i="59"/>
  <c r="H48" i="59"/>
  <c r="C23" i="61"/>
  <c r="H41" i="59"/>
  <c r="E10" i="108"/>
  <c r="O10" i="108" s="1"/>
  <c r="C29" i="77"/>
  <c r="D29" i="77" s="1"/>
  <c r="F33" i="59"/>
  <c r="H33" i="59" s="1"/>
  <c r="C15" i="77"/>
  <c r="E15" i="108"/>
  <c r="B8" i="59"/>
  <c r="B8" i="61" s="1"/>
  <c r="F60" i="59"/>
  <c r="H60" i="59" s="1"/>
  <c r="AP55" i="94"/>
  <c r="AS6" i="99"/>
  <c r="AA57" i="101"/>
  <c r="AC60" i="101"/>
  <c r="AK8" i="94"/>
  <c r="AL8" i="94" s="1"/>
  <c r="AB18" i="94"/>
  <c r="AC18" i="94" s="1"/>
  <c r="AK19" i="94"/>
  <c r="AL19" i="94" s="1"/>
  <c r="AK20" i="94"/>
  <c r="AL20" i="94" s="1"/>
  <c r="Q55" i="94"/>
  <c r="Q40" i="94" s="1"/>
  <c r="AI55" i="94"/>
  <c r="S60" i="94"/>
  <c r="T60" i="94" s="1"/>
  <c r="AK60" i="94"/>
  <c r="AL60" i="94" s="1"/>
  <c r="AE22" i="99"/>
  <c r="AF22" i="99" s="1"/>
  <c r="AB6" i="94"/>
  <c r="AC6" i="94" s="1"/>
  <c r="S7" i="94"/>
  <c r="T7" i="94" s="1"/>
  <c r="AT8" i="94"/>
  <c r="AU8" i="94" s="1"/>
  <c r="S10" i="94"/>
  <c r="T10" i="94" s="1"/>
  <c r="AB10" i="94"/>
  <c r="AC10" i="94" s="1"/>
  <c r="AK10" i="94"/>
  <c r="AL10" i="94" s="1"/>
  <c r="AT10" i="94"/>
  <c r="AU10" i="94" s="1"/>
  <c r="AB11" i="94"/>
  <c r="AC11" i="94" s="1"/>
  <c r="AK11" i="94"/>
  <c r="AL11" i="94" s="1"/>
  <c r="S12" i="94"/>
  <c r="T12" i="94" s="1"/>
  <c r="AB12" i="94"/>
  <c r="AC12" i="94" s="1"/>
  <c r="AK12" i="94"/>
  <c r="AL12" i="94" s="1"/>
  <c r="AN58" i="99"/>
  <c r="AO58" i="99" s="1"/>
  <c r="T57" i="99"/>
  <c r="T42" i="99" s="1"/>
  <c r="AU57" i="99"/>
  <c r="AU57" i="101"/>
  <c r="V61" i="101"/>
  <c r="W61" i="101" s="1"/>
  <c r="AL60" i="101"/>
  <c r="AW9" i="99"/>
  <c r="AN10" i="99"/>
  <c r="AO10" i="99" s="1"/>
  <c r="AA60" i="99"/>
  <c r="V62" i="101"/>
  <c r="W62" i="101" s="1"/>
  <c r="Z41" i="89"/>
  <c r="D49" i="89"/>
  <c r="D28" i="91"/>
  <c r="D41" i="91" s="1"/>
  <c r="H32" i="59"/>
  <c r="G32" i="59"/>
  <c r="T8" i="108"/>
  <c r="AF8" i="108" s="1"/>
  <c r="AG8" i="108" s="1"/>
  <c r="BE14" i="94"/>
  <c r="BE24" i="94" s="1"/>
  <c r="L8" i="105"/>
  <c r="L6" i="105" s="1"/>
  <c r="G77" i="105"/>
  <c r="F31" i="89"/>
  <c r="X31" i="89" s="1"/>
  <c r="F35" i="89"/>
  <c r="Y35" i="89" s="1"/>
  <c r="Y36" i="89" s="1"/>
  <c r="F44" i="84"/>
  <c r="AG4" i="94"/>
  <c r="AB8" i="94"/>
  <c r="AC8" i="94" s="1"/>
  <c r="AK23" i="94"/>
  <c r="AL23" i="94" s="1"/>
  <c r="AJ24" i="94"/>
  <c r="AN58" i="94"/>
  <c r="BL21" i="99"/>
  <c r="BO21" i="99" s="1"/>
  <c r="AJ26" i="99"/>
  <c r="AS26" i="99"/>
  <c r="AE9" i="101"/>
  <c r="AF9" i="101" s="1"/>
  <c r="AE10" i="101"/>
  <c r="AF10" i="101" s="1"/>
  <c r="R28" i="101"/>
  <c r="R26" i="101" s="1"/>
  <c r="AQ26" i="101"/>
  <c r="AS26" i="101"/>
  <c r="AC26" i="101"/>
  <c r="V37" i="101"/>
  <c r="W37" i="101" s="1"/>
  <c r="AE37" i="101"/>
  <c r="AV48" i="101"/>
  <c r="BA48" i="101" s="1"/>
  <c r="AW53" i="101"/>
  <c r="AW52" i="101" s="1"/>
  <c r="AN58" i="101"/>
  <c r="AO58" i="101" s="1"/>
  <c r="AE62" i="101"/>
  <c r="AF62" i="101" s="1"/>
  <c r="BB63" i="101"/>
  <c r="E93" i="103"/>
  <c r="K22" i="103"/>
  <c r="J22" i="103" s="1"/>
  <c r="E78" i="104"/>
  <c r="K7" i="104"/>
  <c r="J7" i="104" s="1"/>
  <c r="F77" i="104"/>
  <c r="L8" i="104"/>
  <c r="L6" i="104" s="1"/>
  <c r="G77" i="104"/>
  <c r="Y42" i="101"/>
  <c r="D38" i="59"/>
  <c r="AT7" i="94"/>
  <c r="AU7" i="94" s="1"/>
  <c r="AT21" i="94"/>
  <c r="AU21" i="94" s="1"/>
  <c r="S22" i="94"/>
  <c r="T22" i="94" s="1"/>
  <c r="AK22" i="94"/>
  <c r="AL22" i="94" s="1"/>
  <c r="AF40" i="94"/>
  <c r="AQ40" i="94"/>
  <c r="AH40" i="94"/>
  <c r="X58" i="94"/>
  <c r="AG58" i="94"/>
  <c r="AP58" i="94"/>
  <c r="AN36" i="99"/>
  <c r="AO36" i="99" s="1"/>
  <c r="Y57" i="99"/>
  <c r="Y42" i="99" s="1"/>
  <c r="V61" i="99"/>
  <c r="AN10" i="101"/>
  <c r="AO10" i="101" s="1"/>
  <c r="V23" i="101"/>
  <c r="AE23" i="101"/>
  <c r="AF23" i="101" s="1"/>
  <c r="AW23" i="101"/>
  <c r="AX23" i="101" s="1"/>
  <c r="AK26" i="101"/>
  <c r="V33" i="101"/>
  <c r="W33" i="101" s="1"/>
  <c r="AN46" i="101"/>
  <c r="AO46" i="101" s="1"/>
  <c r="P57" i="101"/>
  <c r="T14" i="108"/>
  <c r="AF14" i="108" s="1"/>
  <c r="AG14" i="108" s="1"/>
  <c r="Z4" i="94"/>
  <c r="S44" i="94"/>
  <c r="AB51" i="94"/>
  <c r="AB50" i="94" s="1"/>
  <c r="AE10" i="99"/>
  <c r="AF10" i="99" s="1"/>
  <c r="AW10" i="99"/>
  <c r="AX10" i="99" s="1"/>
  <c r="BK20" i="99"/>
  <c r="AL26" i="99"/>
  <c r="V56" i="99"/>
  <c r="W56" i="99" s="1"/>
  <c r="AE56" i="99"/>
  <c r="AF56" i="99" s="1"/>
  <c r="AN56" i="99"/>
  <c r="AO56" i="99" s="1"/>
  <c r="AH60" i="99"/>
  <c r="AL60" i="99"/>
  <c r="AW22" i="101"/>
  <c r="V36" i="101"/>
  <c r="W36" i="101" s="1"/>
  <c r="V46" i="101"/>
  <c r="W46" i="101" s="1"/>
  <c r="AE59" i="101"/>
  <c r="AF59" i="101" s="1"/>
  <c r="AH57" i="101"/>
  <c r="K43" i="109"/>
  <c r="E86" i="103"/>
  <c r="G155" i="103"/>
  <c r="E157" i="103"/>
  <c r="E161" i="103"/>
  <c r="E162" i="103"/>
  <c r="E163" i="103"/>
  <c r="G165" i="103"/>
  <c r="J15" i="103"/>
  <c r="E79" i="104"/>
  <c r="Y40" i="94"/>
  <c r="AK51" i="94"/>
  <c r="AL51" i="94" s="1"/>
  <c r="AL50" i="94" s="1"/>
  <c r="AK59" i="94"/>
  <c r="AL59" i="94" s="1"/>
  <c r="AE58" i="94"/>
  <c r="AT59" i="94"/>
  <c r="AU59" i="94" s="1"/>
  <c r="AW23" i="99"/>
  <c r="AX23" i="99" s="1"/>
  <c r="AE33" i="99"/>
  <c r="AF33" i="99" s="1"/>
  <c r="AA26" i="99"/>
  <c r="V36" i="99"/>
  <c r="W36" i="99" s="1"/>
  <c r="T26" i="99"/>
  <c r="AB26" i="99"/>
  <c r="AD36" i="99"/>
  <c r="BA36" i="99" s="1"/>
  <c r="AW61" i="99"/>
  <c r="AX61" i="99" s="1"/>
  <c r="AQ60" i="99"/>
  <c r="G39" i="109"/>
  <c r="M39" i="109" s="1"/>
  <c r="H38" i="109"/>
  <c r="K38" i="109" s="1"/>
  <c r="F36" i="84"/>
  <c r="E67" i="59"/>
  <c r="F67" i="59" s="1"/>
  <c r="D70" i="59"/>
  <c r="F70" i="59" s="1"/>
  <c r="D51" i="59"/>
  <c r="D13" i="61" s="1"/>
  <c r="AK14" i="94"/>
  <c r="AK13" i="94" s="1"/>
  <c r="AL13" i="94" s="1"/>
  <c r="BF17" i="94"/>
  <c r="BI17" i="94" s="1"/>
  <c r="AB32" i="94"/>
  <c r="AC32" i="94" s="1"/>
  <c r="AT35" i="94"/>
  <c r="AU35" i="94" s="1"/>
  <c r="AS44" i="94"/>
  <c r="R46" i="94"/>
  <c r="T46" i="94" s="1"/>
  <c r="E26" i="59"/>
  <c r="E10" i="61" s="1"/>
  <c r="F30" i="59"/>
  <c r="F72" i="59"/>
  <c r="H72" i="59" s="1"/>
  <c r="C8" i="98"/>
  <c r="D8" i="98" s="1"/>
  <c r="AB22" i="94"/>
  <c r="AC22" i="94" s="1"/>
  <c r="BE23" i="94"/>
  <c r="BH23" i="94" s="1"/>
  <c r="AB23" i="94"/>
  <c r="AC23" i="94" s="1"/>
  <c r="AT34" i="94"/>
  <c r="AU34" i="94" s="1"/>
  <c r="Q24" i="94"/>
  <c r="M41" i="94"/>
  <c r="Q41" i="94"/>
  <c r="AB42" i="94"/>
  <c r="V41" i="94"/>
  <c r="AK42" i="94"/>
  <c r="AL42" i="94" s="1"/>
  <c r="AT42" i="94"/>
  <c r="AU42" i="94" s="1"/>
  <c r="AA50" i="94"/>
  <c r="AD40" i="94"/>
  <c r="AJ6" i="99"/>
  <c r="AU6" i="99"/>
  <c r="V32" i="99"/>
  <c r="W32" i="99" s="1"/>
  <c r="R28" i="99"/>
  <c r="R26" i="99" s="1"/>
  <c r="AC43" i="99"/>
  <c r="AU26" i="101"/>
  <c r="AW61" i="101"/>
  <c r="AX61" i="101" s="1"/>
  <c r="AQ60" i="101"/>
  <c r="X34" i="89"/>
  <c r="AP24" i="94"/>
  <c r="S59" i="94"/>
  <c r="M58" i="94"/>
  <c r="M40" i="94" s="1"/>
  <c r="AC6" i="99"/>
  <c r="F61" i="59"/>
  <c r="D69" i="59"/>
  <c r="O4" i="94"/>
  <c r="S9" i="94"/>
  <c r="T9" i="94" s="1"/>
  <c r="AK9" i="94"/>
  <c r="AL9" i="94" s="1"/>
  <c r="AB14" i="94"/>
  <c r="AC14" i="94" s="1"/>
  <c r="X13" i="94"/>
  <c r="X4" i="94" s="1"/>
  <c r="AT14" i="94"/>
  <c r="AT13" i="94" s="1"/>
  <c r="AU13" i="94" s="1"/>
  <c r="AN13" i="94"/>
  <c r="AN4" i="94" s="1"/>
  <c r="AR4" i="94"/>
  <c r="AT18" i="94"/>
  <c r="AU18" i="94" s="1"/>
  <c r="BE19" i="94"/>
  <c r="BF19" i="94"/>
  <c r="BI19" i="94" s="1"/>
  <c r="S20" i="94"/>
  <c r="T20" i="94" s="1"/>
  <c r="BF20" i="94"/>
  <c r="BI20" i="94" s="1"/>
  <c r="BE22" i="94"/>
  <c r="BH22" i="94" s="1"/>
  <c r="AT22" i="94"/>
  <c r="AU22" i="94" s="1"/>
  <c r="AT23" i="94"/>
  <c r="AU23" i="94" s="1"/>
  <c r="AI24" i="94"/>
  <c r="AA34" i="94"/>
  <c r="Y24" i="94"/>
  <c r="S35" i="94"/>
  <c r="T35" i="94" s="1"/>
  <c r="AM40" i="94"/>
  <c r="W50" i="94"/>
  <c r="W40" i="94" s="1"/>
  <c r="W62" i="94" s="1"/>
  <c r="R51" i="94"/>
  <c r="R50" i="94" s="1"/>
  <c r="N40" i="94"/>
  <c r="N62" i="94" s="1"/>
  <c r="AA56" i="94"/>
  <c r="AA55" i="94" s="1"/>
  <c r="U55" i="94"/>
  <c r="U40" i="94" s="1"/>
  <c r="U62" i="94" s="1"/>
  <c r="AS56" i="94"/>
  <c r="AS55" i="94" s="1"/>
  <c r="R6" i="99"/>
  <c r="V11" i="99"/>
  <c r="W11" i="99" s="1"/>
  <c r="AL57" i="99"/>
  <c r="AJ26" i="101"/>
  <c r="AN37" i="101"/>
  <c r="AZ37" i="101" s="1"/>
  <c r="E84" i="103"/>
  <c r="L13" i="103"/>
  <c r="J13" i="103" s="1"/>
  <c r="BL20" i="99"/>
  <c r="BO20" i="99" s="1"/>
  <c r="AW20" i="99"/>
  <c r="AX20" i="99" s="1"/>
  <c r="BK22" i="99"/>
  <c r="BN22" i="99" s="1"/>
  <c r="V25" i="99"/>
  <c r="W25" i="99" s="1"/>
  <c r="AE25" i="99"/>
  <c r="AF25" i="99" s="1"/>
  <c r="AN25" i="99"/>
  <c r="AS60" i="99"/>
  <c r="R6" i="101"/>
  <c r="T6" i="101"/>
  <c r="AE36" i="101"/>
  <c r="AF36" i="101" s="1"/>
  <c r="AE61" i="101"/>
  <c r="AF61" i="101" s="1"/>
  <c r="AA60" i="101"/>
  <c r="AS60" i="101"/>
  <c r="G41" i="109"/>
  <c r="M41" i="109" s="1"/>
  <c r="E82" i="105"/>
  <c r="L11" i="105"/>
  <c r="E86" i="105"/>
  <c r="L15" i="105"/>
  <c r="BK21" i="99"/>
  <c r="BN21" i="99" s="1"/>
  <c r="AN21" i="99"/>
  <c r="AO21" i="99" s="1"/>
  <c r="AD37" i="99"/>
  <c r="AN44" i="99"/>
  <c r="AN43" i="99" s="1"/>
  <c r="AW53" i="99"/>
  <c r="AW52" i="99" s="1"/>
  <c r="AW59" i="99"/>
  <c r="AX59" i="99" s="1"/>
  <c r="V11" i="101"/>
  <c r="AW11" i="101"/>
  <c r="AX11" i="101" s="1"/>
  <c r="AE12" i="101"/>
  <c r="AF12" i="101" s="1"/>
  <c r="V13" i="101"/>
  <c r="W13" i="101" s="1"/>
  <c r="AW13" i="101"/>
  <c r="AX13" i="101" s="1"/>
  <c r="AN14" i="101"/>
  <c r="AO14" i="101" s="1"/>
  <c r="AN20" i="101"/>
  <c r="AO20" i="101" s="1"/>
  <c r="BM23" i="101"/>
  <c r="BP23" i="101" s="1"/>
  <c r="AE25" i="101"/>
  <c r="AF25" i="101" s="1"/>
  <c r="P26" i="101"/>
  <c r="AL26" i="101"/>
  <c r="AW37" i="101"/>
  <c r="AX37" i="101" s="1"/>
  <c r="AW46" i="101"/>
  <c r="AE53" i="101"/>
  <c r="AE52" i="101" s="1"/>
  <c r="K39" i="109"/>
  <c r="J21" i="104"/>
  <c r="AE21" i="99"/>
  <c r="AF21" i="99" s="1"/>
  <c r="AW21" i="99"/>
  <c r="AX21" i="99" s="1"/>
  <c r="AN23" i="99"/>
  <c r="AO23" i="99" s="1"/>
  <c r="AW33" i="99"/>
  <c r="AX33" i="99" s="1"/>
  <c r="AE44" i="99"/>
  <c r="AE43" i="99" s="1"/>
  <c r="AF43" i="99" s="1"/>
  <c r="AE58" i="99"/>
  <c r="AF58" i="99" s="1"/>
  <c r="AE59" i="99"/>
  <c r="AF59" i="99" s="1"/>
  <c r="AN59" i="99"/>
  <c r="AO59" i="99" s="1"/>
  <c r="AE11" i="101"/>
  <c r="AF11" i="101" s="1"/>
  <c r="V12" i="101"/>
  <c r="AW12" i="101"/>
  <c r="AX12" i="101" s="1"/>
  <c r="AN13" i="101"/>
  <c r="AO13" i="101" s="1"/>
  <c r="V14" i="101"/>
  <c r="AE14" i="101"/>
  <c r="AF14" i="101" s="1"/>
  <c r="AN19" i="101"/>
  <c r="AO19" i="101" s="1"/>
  <c r="V20" i="101"/>
  <c r="W20" i="101" s="1"/>
  <c r="AE20" i="101"/>
  <c r="AF20" i="101" s="1"/>
  <c r="AW20" i="101"/>
  <c r="AX20" i="101" s="1"/>
  <c r="W29" i="101"/>
  <c r="E43" i="59"/>
  <c r="E12" i="61" s="1"/>
  <c r="E68" i="59"/>
  <c r="F43" i="89"/>
  <c r="F41" i="89" s="1"/>
  <c r="F31" i="84"/>
  <c r="V31" i="84" s="1"/>
  <c r="F38" i="84"/>
  <c r="V38" i="84" s="1"/>
  <c r="J15" i="82"/>
  <c r="Q4" i="94"/>
  <c r="S14" i="94"/>
  <c r="T14" i="94" s="1"/>
  <c r="BE17" i="94"/>
  <c r="BH17" i="94" s="1"/>
  <c r="AB17" i="94"/>
  <c r="AC17" i="94" s="1"/>
  <c r="AK17" i="94"/>
  <c r="AL17" i="94" s="1"/>
  <c r="AK18" i="94"/>
  <c r="AB20" i="94"/>
  <c r="AC20" i="94" s="1"/>
  <c r="AB21" i="94"/>
  <c r="AC21" i="94" s="1"/>
  <c r="S31" i="94"/>
  <c r="T31" i="94" s="1"/>
  <c r="AB31" i="94"/>
  <c r="AC31" i="94" s="1"/>
  <c r="AT31" i="94"/>
  <c r="AU31" i="94" s="1"/>
  <c r="AB34" i="94"/>
  <c r="AK34" i="94"/>
  <c r="AL34" i="94" s="1"/>
  <c r="AA35" i="94"/>
  <c r="AW35" i="94" s="1"/>
  <c r="AZ35" i="94" s="1"/>
  <c r="AK35" i="94"/>
  <c r="AL35" i="94" s="1"/>
  <c r="AK44" i="94"/>
  <c r="AS46" i="94"/>
  <c r="AU46" i="94" s="1"/>
  <c r="O40" i="94"/>
  <c r="S54" i="94"/>
  <c r="AB54" i="94"/>
  <c r="AC54" i="94" s="1"/>
  <c r="AT54" i="94"/>
  <c r="AU54" i="94" s="1"/>
  <c r="S56" i="94"/>
  <c r="X55" i="94"/>
  <c r="AK56" i="94"/>
  <c r="AB57" i="94"/>
  <c r="AC57" i="94" s="1"/>
  <c r="AE55" i="94"/>
  <c r="AT57" i="94"/>
  <c r="AU57" i="94" s="1"/>
  <c r="V9" i="99"/>
  <c r="W9" i="99" s="1"/>
  <c r="AE9" i="99"/>
  <c r="AF9" i="99" s="1"/>
  <c r="V10" i="99"/>
  <c r="W10" i="99" s="1"/>
  <c r="AW11" i="99"/>
  <c r="AX11" i="99" s="1"/>
  <c r="V12" i="99"/>
  <c r="W12" i="99" s="1"/>
  <c r="AE12" i="99"/>
  <c r="AF12" i="99" s="1"/>
  <c r="AN12" i="99"/>
  <c r="AO12" i="99" s="1"/>
  <c r="V13" i="99"/>
  <c r="W13" i="99" s="1"/>
  <c r="AE13" i="99"/>
  <c r="AF13" i="99" s="1"/>
  <c r="AN13" i="99"/>
  <c r="AW13" i="99"/>
  <c r="AX13" i="99" s="1"/>
  <c r="V14" i="99"/>
  <c r="W14" i="99" s="1"/>
  <c r="AE14" i="99"/>
  <c r="AF14" i="99" s="1"/>
  <c r="AW14" i="99"/>
  <c r="AX14" i="99" s="1"/>
  <c r="BK19" i="99"/>
  <c r="BN19" i="99" s="1"/>
  <c r="AE19" i="99"/>
  <c r="AF19" i="99" s="1"/>
  <c r="AN19" i="99"/>
  <c r="AO19" i="99" s="1"/>
  <c r="V20" i="99"/>
  <c r="W20" i="99" s="1"/>
  <c r="AN20" i="99"/>
  <c r="AO20" i="99" s="1"/>
  <c r="AW22" i="99"/>
  <c r="AX22" i="99" s="1"/>
  <c r="BL23" i="99"/>
  <c r="BO23" i="99" s="1"/>
  <c r="BL25" i="99"/>
  <c r="BO25" i="99" s="1"/>
  <c r="AQ26" i="99"/>
  <c r="V33" i="99"/>
  <c r="AE36" i="99"/>
  <c r="AW36" i="99"/>
  <c r="AX36" i="99" s="1"/>
  <c r="AO63" i="99"/>
  <c r="BB63" i="99"/>
  <c r="BL20" i="101"/>
  <c r="BO20" i="101" s="1"/>
  <c r="BL21" i="101"/>
  <c r="BO21" i="101" s="1"/>
  <c r="AN21" i="101"/>
  <c r="AO21" i="101" s="1"/>
  <c r="BM22" i="101"/>
  <c r="BP22" i="101" s="1"/>
  <c r="AW24" i="101"/>
  <c r="Y26" i="101"/>
  <c r="T26" i="101"/>
  <c r="T43" i="101"/>
  <c r="AE44" i="101"/>
  <c r="AF44" i="101" s="1"/>
  <c r="Y43" i="101"/>
  <c r="AC57" i="101"/>
  <c r="AW62" i="101"/>
  <c r="AX62" i="101" s="1"/>
  <c r="T52" i="108"/>
  <c r="AF52" i="108" s="1"/>
  <c r="AG52" i="108" s="1"/>
  <c r="I42" i="109"/>
  <c r="L42" i="109" s="1"/>
  <c r="V34" i="99"/>
  <c r="W34" i="99" s="1"/>
  <c r="AN34" i="99"/>
  <c r="AO34" i="99" s="1"/>
  <c r="V37" i="99"/>
  <c r="W37" i="99" s="1"/>
  <c r="AE37" i="99"/>
  <c r="V53" i="99"/>
  <c r="W53" i="99" s="1"/>
  <c r="W52" i="99" s="1"/>
  <c r="AE53" i="99"/>
  <c r="V59" i="99"/>
  <c r="AC60" i="99"/>
  <c r="AN62" i="99"/>
  <c r="AO62" i="99" s="1"/>
  <c r="AS6" i="101"/>
  <c r="AW9" i="101"/>
  <c r="AX9" i="101" s="1"/>
  <c r="V10" i="101"/>
  <c r="W10" i="101" s="1"/>
  <c r="AA6" i="101"/>
  <c r="BM21" i="101"/>
  <c r="BP21" i="101" s="1"/>
  <c r="AW21" i="101"/>
  <c r="AX21" i="101" s="1"/>
  <c r="V22" i="101"/>
  <c r="W22" i="101" s="1"/>
  <c r="AE22" i="101"/>
  <c r="AF22" i="101" s="1"/>
  <c r="BL24" i="101"/>
  <c r="BO24" i="101" s="1"/>
  <c r="AE24" i="101"/>
  <c r="AF24" i="101" s="1"/>
  <c r="AN24" i="101"/>
  <c r="AO24" i="101" s="1"/>
  <c r="AW25" i="101"/>
  <c r="AX25" i="101" s="1"/>
  <c r="V34" i="101"/>
  <c r="W34" i="101" s="1"/>
  <c r="AN34" i="101"/>
  <c r="AO34" i="101" s="1"/>
  <c r="V56" i="101"/>
  <c r="AE56" i="101"/>
  <c r="AF56" i="101" s="1"/>
  <c r="AN56" i="101"/>
  <c r="AO56" i="101" s="1"/>
  <c r="AE58" i="101"/>
  <c r="AF58" i="101" s="1"/>
  <c r="AN62" i="101"/>
  <c r="AO62" i="101" s="1"/>
  <c r="G40" i="109"/>
  <c r="M40" i="109" s="1"/>
  <c r="G44" i="109"/>
  <c r="M44" i="109" s="1"/>
  <c r="E82" i="103"/>
  <c r="F81" i="103"/>
  <c r="K11" i="103"/>
  <c r="J11" i="103" s="1"/>
  <c r="G151" i="103"/>
  <c r="G150" i="103" s="1"/>
  <c r="E153" i="103"/>
  <c r="E159" i="103"/>
  <c r="E79" i="105"/>
  <c r="K8" i="105"/>
  <c r="B115" i="103"/>
  <c r="D114" i="103"/>
  <c r="E160" i="103"/>
  <c r="E78" i="105"/>
  <c r="K7" i="105"/>
  <c r="F81" i="105"/>
  <c r="F91" i="105"/>
  <c r="K21" i="105"/>
  <c r="E93" i="105"/>
  <c r="L22" i="105"/>
  <c r="G91" i="105"/>
  <c r="K8" i="104"/>
  <c r="F81" i="104"/>
  <c r="E82" i="104"/>
  <c r="E86" i="104"/>
  <c r="E92" i="103"/>
  <c r="E152" i="103"/>
  <c r="E158" i="103"/>
  <c r="K12" i="105"/>
  <c r="H37" i="59"/>
  <c r="G37" i="59"/>
  <c r="G49" i="59"/>
  <c r="H49" i="59"/>
  <c r="G47" i="59"/>
  <c r="H47" i="59"/>
  <c r="H31" i="59"/>
  <c r="G31" i="59"/>
  <c r="H40" i="59"/>
  <c r="G40" i="59"/>
  <c r="G45" i="59"/>
  <c r="H45" i="59"/>
  <c r="H58" i="59"/>
  <c r="AX27" i="94"/>
  <c r="AY27" i="94" s="1"/>
  <c r="S26" i="94"/>
  <c r="AX30" i="94"/>
  <c r="AY30" i="94" s="1"/>
  <c r="T30" i="94"/>
  <c r="AK32" i="94"/>
  <c r="AL32" i="94" s="1"/>
  <c r="AT44" i="94"/>
  <c r="AT56" i="94"/>
  <c r="AN55" i="94"/>
  <c r="AN40" i="94" s="1"/>
  <c r="AM37" i="101"/>
  <c r="AI26" i="101"/>
  <c r="AH43" i="101"/>
  <c r="F23" i="59"/>
  <c r="G44" i="59"/>
  <c r="G46" i="59"/>
  <c r="G48" i="59"/>
  <c r="AP4" i="94"/>
  <c r="S8" i="94"/>
  <c r="BF14" i="94"/>
  <c r="BF18" i="94"/>
  <c r="BI18" i="94" s="1"/>
  <c r="BF21" i="94"/>
  <c r="BI21" i="94" s="1"/>
  <c r="BF22" i="94"/>
  <c r="BI22" i="94" s="1"/>
  <c r="BF23" i="94"/>
  <c r="AT32" i="94"/>
  <c r="AU32" i="94" s="1"/>
  <c r="Z41" i="94"/>
  <c r="AT51" i="94"/>
  <c r="AL6" i="99"/>
  <c r="AN11" i="99"/>
  <c r="AW12" i="99"/>
  <c r="AX12" i="99" s="1"/>
  <c r="AN16" i="99"/>
  <c r="AQ15" i="99"/>
  <c r="AQ6" i="99" s="1"/>
  <c r="AW16" i="99"/>
  <c r="AW19" i="99"/>
  <c r="AX19" i="99" s="1"/>
  <c r="BL22" i="99"/>
  <c r="BO22" i="99" s="1"/>
  <c r="BL24" i="99"/>
  <c r="AN37" i="99"/>
  <c r="AZ37" i="99" s="1"/>
  <c r="AH26" i="99"/>
  <c r="AM26" i="99"/>
  <c r="BM16" i="101"/>
  <c r="AC15" i="101"/>
  <c r="AC6" i="101" s="1"/>
  <c r="AB7" i="94"/>
  <c r="AC7" i="94" s="1"/>
  <c r="V4" i="94"/>
  <c r="BL19" i="99"/>
  <c r="BO19" i="99" s="1"/>
  <c r="AN44" i="101"/>
  <c r="AW56" i="101"/>
  <c r="AX56" i="101" s="1"/>
  <c r="AN59" i="101"/>
  <c r="E84" i="105"/>
  <c r="L13" i="105"/>
  <c r="G81" i="105"/>
  <c r="E95" i="105"/>
  <c r="L24" i="105"/>
  <c r="F43" i="59"/>
  <c r="F12" i="61" s="1"/>
  <c r="M4" i="94"/>
  <c r="AK7" i="94"/>
  <c r="AE4" i="94"/>
  <c r="AI4" i="94"/>
  <c r="AB9" i="94"/>
  <c r="AC9" i="94" s="1"/>
  <c r="S11" i="94"/>
  <c r="AT12" i="94"/>
  <c r="AU12" i="94" s="1"/>
  <c r="S19" i="94"/>
  <c r="S21" i="94"/>
  <c r="S23" i="94"/>
  <c r="T27" i="94"/>
  <c r="AK31" i="94"/>
  <c r="Z24" i="94"/>
  <c r="S34" i="94"/>
  <c r="R44" i="94"/>
  <c r="P40" i="94"/>
  <c r="P62" i="94" s="1"/>
  <c r="AJ44" i="94"/>
  <c r="AK54" i="94"/>
  <c r="AL54" i="94" s="1"/>
  <c r="R56" i="94"/>
  <c r="L55" i="94"/>
  <c r="L40" i="94" s="1"/>
  <c r="L62" i="94" s="1"/>
  <c r="AJ56" i="94"/>
  <c r="AB60" i="94"/>
  <c r="AC60" i="94" s="1"/>
  <c r="V8" i="99"/>
  <c r="Y6" i="99"/>
  <c r="AE8" i="99"/>
  <c r="AX9" i="99"/>
  <c r="BL16" i="99"/>
  <c r="AE20" i="99"/>
  <c r="AF20" i="99" s="1"/>
  <c r="V22" i="99"/>
  <c r="BK23" i="99"/>
  <c r="AE23" i="99"/>
  <c r="AF23" i="99" s="1"/>
  <c r="AQ6" i="101"/>
  <c r="BM19" i="101"/>
  <c r="BP19" i="101" s="1"/>
  <c r="BM20" i="101"/>
  <c r="BP20" i="101" s="1"/>
  <c r="S17" i="94"/>
  <c r="S18" i="94"/>
  <c r="BE18" i="94"/>
  <c r="AN9" i="99"/>
  <c r="BK16" i="99"/>
  <c r="AE16" i="99"/>
  <c r="S6" i="94"/>
  <c r="AT9" i="94"/>
  <c r="AU9" i="94" s="1"/>
  <c r="AT11" i="94"/>
  <c r="AU11" i="94" s="1"/>
  <c r="S32" i="94"/>
  <c r="AB35" i="94"/>
  <c r="V24" i="94"/>
  <c r="AB44" i="94"/>
  <c r="S51" i="94"/>
  <c r="AB56" i="94"/>
  <c r="AK57" i="94"/>
  <c r="AL57" i="94" s="1"/>
  <c r="AB59" i="94"/>
  <c r="AT60" i="94"/>
  <c r="AU60" i="94" s="1"/>
  <c r="AN14" i="99"/>
  <c r="V19" i="99"/>
  <c r="AN22" i="99"/>
  <c r="BN24" i="99"/>
  <c r="AH52" i="99"/>
  <c r="AN53" i="99"/>
  <c r="AN36" i="101"/>
  <c r="AH26" i="101"/>
  <c r="G12" i="109"/>
  <c r="M12" i="109" s="1"/>
  <c r="BE20" i="94"/>
  <c r="BE21" i="94"/>
  <c r="P6" i="99"/>
  <c r="V21" i="99"/>
  <c r="V23" i="99"/>
  <c r="BK25" i="99"/>
  <c r="W29" i="99"/>
  <c r="AN33" i="99"/>
  <c r="AE34" i="99"/>
  <c r="AW37" i="99"/>
  <c r="AX37" i="99" s="1"/>
  <c r="AL43" i="99"/>
  <c r="AX48" i="99"/>
  <c r="BA48" i="99"/>
  <c r="AW56" i="99"/>
  <c r="AX56" i="99" s="1"/>
  <c r="P57" i="99"/>
  <c r="V58" i="99"/>
  <c r="W61" i="99"/>
  <c r="V8" i="101"/>
  <c r="AN11" i="101"/>
  <c r="AN12" i="101"/>
  <c r="AW14" i="101"/>
  <c r="AX14" i="101" s="1"/>
  <c r="BL16" i="101"/>
  <c r="P15" i="101"/>
  <c r="P6" i="101" s="1"/>
  <c r="V16" i="101"/>
  <c r="AW16" i="101"/>
  <c r="V21" i="101"/>
  <c r="AN22" i="101"/>
  <c r="BL23" i="101"/>
  <c r="AN23" i="101"/>
  <c r="BM24" i="101"/>
  <c r="BP24" i="101" s="1"/>
  <c r="V25" i="101"/>
  <c r="W32" i="101"/>
  <c r="V28" i="101"/>
  <c r="BB32" i="101"/>
  <c r="BC32" i="101" s="1"/>
  <c r="BF32" i="101"/>
  <c r="AN33" i="101"/>
  <c r="AW33" i="101"/>
  <c r="AW36" i="101"/>
  <c r="AX36" i="101" s="1"/>
  <c r="V44" i="101"/>
  <c r="AW44" i="101"/>
  <c r="V53" i="101"/>
  <c r="V58" i="101"/>
  <c r="AW59" i="101"/>
  <c r="AX59" i="101" s="1"/>
  <c r="AO63" i="101"/>
  <c r="AZ63" i="101"/>
  <c r="O26" i="94"/>
  <c r="O24" i="94" s="1"/>
  <c r="V16" i="99"/>
  <c r="V24" i="99"/>
  <c r="AW34" i="99"/>
  <c r="AN46" i="99"/>
  <c r="AW58" i="99"/>
  <c r="AN61" i="99"/>
  <c r="V62" i="99"/>
  <c r="AE62" i="99"/>
  <c r="AF62" i="99" s="1"/>
  <c r="AW62" i="99"/>
  <c r="AX62" i="99" s="1"/>
  <c r="AE8" i="101"/>
  <c r="AH6" i="101"/>
  <c r="AN8" i="101"/>
  <c r="AE16" i="101"/>
  <c r="AN16" i="101"/>
  <c r="BL19" i="101"/>
  <c r="AE19" i="101"/>
  <c r="AF19" i="101" s="1"/>
  <c r="AE21" i="101"/>
  <c r="AF21" i="101" s="1"/>
  <c r="V24" i="101"/>
  <c r="AN25" i="101"/>
  <c r="AE34" i="101"/>
  <c r="AF34" i="101" s="1"/>
  <c r="BA36" i="101"/>
  <c r="AD37" i="101"/>
  <c r="AD26" i="101" s="1"/>
  <c r="BF54" i="101"/>
  <c r="BB54" i="101"/>
  <c r="AO54" i="101"/>
  <c r="AW58" i="101"/>
  <c r="AU60" i="101"/>
  <c r="V44" i="99"/>
  <c r="P43" i="99"/>
  <c r="AQ43" i="99"/>
  <c r="AW44" i="99"/>
  <c r="W46" i="99"/>
  <c r="AE61" i="99"/>
  <c r="V9" i="101"/>
  <c r="AE13" i="101"/>
  <c r="AF13" i="101" s="1"/>
  <c r="AW19" i="101"/>
  <c r="AX19" i="101" s="1"/>
  <c r="BM25" i="101"/>
  <c r="BP25" i="101" s="1"/>
  <c r="AW34" i="101"/>
  <c r="AX34" i="101" s="1"/>
  <c r="AU43" i="101"/>
  <c r="W59" i="101"/>
  <c r="AN61" i="101"/>
  <c r="BC63" i="101"/>
  <c r="P52" i="99"/>
  <c r="AN54" i="99"/>
  <c r="AA57" i="99"/>
  <c r="AJ60" i="99"/>
  <c r="AZ63" i="99"/>
  <c r="AJ6" i="101"/>
  <c r="V19" i="101"/>
  <c r="BL22" i="101"/>
  <c r="BL25" i="101"/>
  <c r="BF29" i="101"/>
  <c r="AH52" i="101"/>
  <c r="AL53" i="101"/>
  <c r="AL52" i="101" s="1"/>
  <c r="AJ57" i="101"/>
  <c r="AH60" i="101"/>
  <c r="J34" i="41"/>
  <c r="M34" i="41"/>
  <c r="AJ57" i="99"/>
  <c r="L38" i="109"/>
  <c r="K40" i="109"/>
  <c r="K44" i="109"/>
  <c r="G13" i="109"/>
  <c r="M13" i="109" s="1"/>
  <c r="L16" i="103"/>
  <c r="G81" i="103"/>
  <c r="L7" i="103"/>
  <c r="L6" i="103" s="1"/>
  <c r="G77" i="103"/>
  <c r="E97" i="104"/>
  <c r="G91" i="104"/>
  <c r="J21" i="103"/>
  <c r="E83" i="103"/>
  <c r="G91" i="103"/>
  <c r="F151" i="103"/>
  <c r="F150" i="103" s="1"/>
  <c r="E166" i="103"/>
  <c r="F165" i="103"/>
  <c r="L14" i="104"/>
  <c r="E85" i="104"/>
  <c r="L20" i="103"/>
  <c r="J8" i="103"/>
  <c r="J17" i="103"/>
  <c r="J18" i="103"/>
  <c r="E78" i="103"/>
  <c r="E87" i="103"/>
  <c r="E94" i="103"/>
  <c r="E156" i="103"/>
  <c r="F155" i="103"/>
  <c r="E168" i="103"/>
  <c r="K24" i="103"/>
  <c r="J24" i="103" s="1"/>
  <c r="K23" i="103"/>
  <c r="J23" i="103" s="1"/>
  <c r="F77" i="103"/>
  <c r="F91" i="103"/>
  <c r="E84" i="104"/>
  <c r="L13" i="104"/>
  <c r="E83" i="105"/>
  <c r="L12" i="105"/>
  <c r="E87" i="105"/>
  <c r="L16" i="105"/>
  <c r="J16" i="105" s="1"/>
  <c r="E94" i="105"/>
  <c r="L23" i="105"/>
  <c r="K7" i="103"/>
  <c r="K12" i="103"/>
  <c r="K16" i="103"/>
  <c r="L11" i="104"/>
  <c r="E83" i="104"/>
  <c r="L12" i="104"/>
  <c r="E87" i="104"/>
  <c r="L16" i="104"/>
  <c r="L14" i="105"/>
  <c r="E85" i="105"/>
  <c r="L21" i="105"/>
  <c r="E92" i="105"/>
  <c r="L12" i="109"/>
  <c r="L13" i="109"/>
  <c r="F19" i="109"/>
  <c r="C18" i="109"/>
  <c r="B46" i="109"/>
  <c r="K12" i="109"/>
  <c r="K13" i="109"/>
  <c r="I2" i="61"/>
  <c r="G65" i="59" l="1"/>
  <c r="K64" i="99"/>
  <c r="N45" i="83"/>
  <c r="G54" i="76"/>
  <c r="AV49" i="101"/>
  <c r="AX49" i="101" s="1"/>
  <c r="AY50" i="101"/>
  <c r="H24" i="99"/>
  <c r="E24" i="99"/>
  <c r="BJ24" i="99" s="1"/>
  <c r="AY18" i="101"/>
  <c r="AZ18" i="101" s="1"/>
  <c r="AX53" i="99"/>
  <c r="AX52" i="99" s="1"/>
  <c r="T27" i="84"/>
  <c r="BA24" i="101"/>
  <c r="BB48" i="101"/>
  <c r="BC48" i="101" s="1"/>
  <c r="L61" i="89"/>
  <c r="G13" i="98"/>
  <c r="M3" i="98" s="1"/>
  <c r="AX50" i="101"/>
  <c r="BR6" i="54"/>
  <c r="BD7" i="101"/>
  <c r="BE7" i="101" s="1"/>
  <c r="AH6" i="88"/>
  <c r="AE5" i="88"/>
  <c r="AH5" i="88" s="1"/>
  <c r="AL18" i="94"/>
  <c r="AS42" i="99"/>
  <c r="D61" i="89"/>
  <c r="D67" i="89" s="1"/>
  <c r="F79" i="59"/>
  <c r="AF17" i="101"/>
  <c r="AZ48" i="99"/>
  <c r="AY48" i="101"/>
  <c r="AZ48" i="101" s="1"/>
  <c r="AT5" i="88"/>
  <c r="AU5" i="88" s="1"/>
  <c r="W41" i="108"/>
  <c r="U40" i="108"/>
  <c r="BA51" i="101"/>
  <c r="AY17" i="101"/>
  <c r="BB48" i="99"/>
  <c r="BC48" i="99" s="1"/>
  <c r="BM17" i="99"/>
  <c r="X61" i="84"/>
  <c r="AX48" i="94"/>
  <c r="AV16" i="94"/>
  <c r="AB64" i="101"/>
  <c r="J15" i="76"/>
  <c r="AB55" i="94"/>
  <c r="AB13" i="94"/>
  <c r="AC13" i="94" s="1"/>
  <c r="AX24" i="101"/>
  <c r="E6" i="104"/>
  <c r="E39" i="103"/>
  <c r="E45" i="109"/>
  <c r="AZ17" i="101"/>
  <c r="BK21" i="101"/>
  <c r="AE11" i="90"/>
  <c r="F49" i="77"/>
  <c r="AA5" i="88"/>
  <c r="AD5" i="88" s="1"/>
  <c r="AL14" i="94"/>
  <c r="J8" i="105"/>
  <c r="J24" i="105"/>
  <c r="AG9" i="108"/>
  <c r="BD18" i="101"/>
  <c r="BB50" i="101"/>
  <c r="BC50" i="101" s="1"/>
  <c r="AX16" i="94"/>
  <c r="AY16" i="94" s="1"/>
  <c r="N33" i="89"/>
  <c r="BA53" i="99"/>
  <c r="W48" i="101"/>
  <c r="D27" i="89"/>
  <c r="D26" i="89" s="1"/>
  <c r="D70" i="89" s="1"/>
  <c r="BI23" i="94"/>
  <c r="BD51" i="99"/>
  <c r="BE51" i="99" s="1"/>
  <c r="AW18" i="94"/>
  <c r="BD18" i="94" s="1"/>
  <c r="N17" i="83"/>
  <c r="AA6" i="90"/>
  <c r="N17" i="89"/>
  <c r="O27" i="76"/>
  <c r="BA28" i="101"/>
  <c r="U26" i="101"/>
  <c r="G57" i="59"/>
  <c r="H56" i="59"/>
  <c r="J12" i="104"/>
  <c r="S55" i="94"/>
  <c r="BA50" i="101"/>
  <c r="P42" i="101"/>
  <c r="P64" i="101" s="1"/>
  <c r="AU42" i="99"/>
  <c r="E6" i="103"/>
  <c r="J14" i="105"/>
  <c r="J16" i="104"/>
  <c r="J11" i="104"/>
  <c r="G55" i="59"/>
  <c r="AC42" i="99"/>
  <c r="AS42" i="101"/>
  <c r="C5" i="103"/>
  <c r="AP42" i="101"/>
  <c r="AX46" i="99"/>
  <c r="J11" i="105"/>
  <c r="BA63" i="101"/>
  <c r="BD63" i="101" s="1"/>
  <c r="BE63" i="101" s="1"/>
  <c r="D113" i="103"/>
  <c r="G76" i="104"/>
  <c r="L5" i="104" s="1"/>
  <c r="I15" i="109" s="1"/>
  <c r="L15" i="109" s="1"/>
  <c r="BI16" i="94"/>
  <c r="H37" i="109"/>
  <c r="AZ34" i="99"/>
  <c r="AB64" i="99"/>
  <c r="AX22" i="101"/>
  <c r="AV52" i="101"/>
  <c r="BA52" i="101" s="1"/>
  <c r="BG52" i="101" s="1"/>
  <c r="BA58" i="99"/>
  <c r="BA57" i="99" s="1"/>
  <c r="BG26" i="99"/>
  <c r="BI26" i="99" s="1"/>
  <c r="AF63" i="101"/>
  <c r="AF60" i="101" s="1"/>
  <c r="AV57" i="99"/>
  <c r="G38" i="109"/>
  <c r="M38" i="109" s="1"/>
  <c r="AQ42" i="99"/>
  <c r="J18" i="105"/>
  <c r="AX46" i="101"/>
  <c r="BA37" i="99"/>
  <c r="BF37" i="99" s="1"/>
  <c r="H36" i="59"/>
  <c r="E35" i="59"/>
  <c r="E11" i="61" s="1"/>
  <c r="AW51" i="94"/>
  <c r="AZ49" i="94" s="1"/>
  <c r="AN57" i="101"/>
  <c r="G29" i="59"/>
  <c r="F39" i="59"/>
  <c r="G39" i="59" s="1"/>
  <c r="C24" i="61"/>
  <c r="AG40" i="94"/>
  <c r="J22" i="104"/>
  <c r="BA54" i="99"/>
  <c r="D26" i="59"/>
  <c r="D10" i="61" s="1"/>
  <c r="G28" i="59"/>
  <c r="J16" i="103"/>
  <c r="AM42" i="99"/>
  <c r="BA46" i="101"/>
  <c r="AV52" i="99"/>
  <c r="BA52" i="99" s="1"/>
  <c r="BF52" i="99" s="1"/>
  <c r="AP42" i="99"/>
  <c r="B128" i="103"/>
  <c r="B6" i="103"/>
  <c r="AX48" i="101"/>
  <c r="AO37" i="101"/>
  <c r="AU44" i="94"/>
  <c r="J7" i="105"/>
  <c r="G5" i="104"/>
  <c r="AF46" i="101"/>
  <c r="AD42" i="101"/>
  <c r="AD64" i="101" s="1"/>
  <c r="F26" i="98"/>
  <c r="AU42" i="101"/>
  <c r="V60" i="99"/>
  <c r="AY59" i="101"/>
  <c r="E77" i="105"/>
  <c r="AF57" i="101"/>
  <c r="AL42" i="99"/>
  <c r="AV60" i="99"/>
  <c r="H53" i="59"/>
  <c r="I32" i="109"/>
  <c r="L32" i="109" s="1"/>
  <c r="B6" i="104"/>
  <c r="E20" i="103"/>
  <c r="BA46" i="99"/>
  <c r="J23" i="105"/>
  <c r="E77" i="104"/>
  <c r="D5" i="105"/>
  <c r="B10" i="105"/>
  <c r="B5" i="105" s="1"/>
  <c r="S43" i="108"/>
  <c r="AE43" i="108" s="1"/>
  <c r="AE48" i="108"/>
  <c r="H49" i="101"/>
  <c r="AY49" i="101" s="1"/>
  <c r="G42" i="101"/>
  <c r="G64" i="101" s="1"/>
  <c r="W49" i="101"/>
  <c r="H10" i="101"/>
  <c r="AY10" i="101" s="1"/>
  <c r="AZ10" i="101" s="1"/>
  <c r="E10" i="101"/>
  <c r="H25" i="99"/>
  <c r="E25" i="99"/>
  <c r="K9" i="101"/>
  <c r="H9" i="99"/>
  <c r="G27" i="98"/>
  <c r="E9" i="101"/>
  <c r="H9" i="101"/>
  <c r="F6" i="101"/>
  <c r="AY1" i="101" s="1"/>
  <c r="D47" i="83"/>
  <c r="D45" i="83" s="1"/>
  <c r="D29" i="83"/>
  <c r="D44" i="77"/>
  <c r="F45" i="77"/>
  <c r="L61" i="84"/>
  <c r="H24" i="76"/>
  <c r="I24" i="76" s="1"/>
  <c r="H66" i="59"/>
  <c r="B54" i="103"/>
  <c r="F113" i="103"/>
  <c r="W49" i="108"/>
  <c r="U48" i="108"/>
  <c r="U43" i="108" s="1"/>
  <c r="BD55" i="101"/>
  <c r="BE55" i="101" s="1"/>
  <c r="I15" i="101"/>
  <c r="I6" i="101" s="1"/>
  <c r="I64" i="101" s="1"/>
  <c r="AV49" i="99"/>
  <c r="H8" i="99"/>
  <c r="E8" i="99"/>
  <c r="BC8" i="99" s="1"/>
  <c r="E21" i="99"/>
  <c r="BJ21" i="99" s="1"/>
  <c r="H21" i="99"/>
  <c r="BJ20" i="99"/>
  <c r="BA16" i="99"/>
  <c r="BA25" i="99"/>
  <c r="F22" i="94"/>
  <c r="H22" i="94" s="1"/>
  <c r="AW22" i="94"/>
  <c r="BD22" i="94" s="1"/>
  <c r="AW17" i="94"/>
  <c r="BD17" i="94" s="1"/>
  <c r="L22" i="83"/>
  <c r="N22" i="83" s="1"/>
  <c r="AX47" i="94"/>
  <c r="AY47" i="94" s="1"/>
  <c r="AY48" i="94"/>
  <c r="L57" i="83"/>
  <c r="F14" i="94"/>
  <c r="H14" i="94" s="1"/>
  <c r="AW14" i="94"/>
  <c r="BD14" i="94" s="1"/>
  <c r="BD24" i="94" s="1"/>
  <c r="R13" i="94"/>
  <c r="F43" i="77"/>
  <c r="E40" i="76"/>
  <c r="F38" i="76"/>
  <c r="F40" i="76" s="1"/>
  <c r="N5" i="88"/>
  <c r="AI40" i="94"/>
  <c r="C5" i="105"/>
  <c r="B10" i="103"/>
  <c r="G5" i="103"/>
  <c r="I9" i="99"/>
  <c r="AM6" i="99"/>
  <c r="BQ18" i="101"/>
  <c r="B29" i="82"/>
  <c r="D29" i="82" s="1"/>
  <c r="AD6" i="99"/>
  <c r="K15" i="101"/>
  <c r="BJ19" i="99"/>
  <c r="AW20" i="94"/>
  <c r="BD20" i="94" s="1"/>
  <c r="F20" i="94"/>
  <c r="H20" i="94" s="1"/>
  <c r="E29" i="82"/>
  <c r="O5" i="88"/>
  <c r="R6" i="88"/>
  <c r="D61" i="84"/>
  <c r="BB24" i="94"/>
  <c r="BH24" i="94" s="1"/>
  <c r="F18" i="94"/>
  <c r="H18" i="94" s="1"/>
  <c r="AV18" i="94" s="1"/>
  <c r="I14" i="109"/>
  <c r="L14" i="109" s="1"/>
  <c r="BH14" i="94"/>
  <c r="B20" i="104"/>
  <c r="F5" i="104"/>
  <c r="BA60" i="101"/>
  <c r="B36" i="109"/>
  <c r="F36" i="109" s="1"/>
  <c r="F37" i="109"/>
  <c r="L37" i="109" s="1"/>
  <c r="M37" i="41"/>
  <c r="J37" i="41"/>
  <c r="M36" i="41"/>
  <c r="J36" i="41"/>
  <c r="M38" i="41"/>
  <c r="J38" i="41"/>
  <c r="BA25" i="101"/>
  <c r="O2" i="99"/>
  <c r="Q2" i="99" s="1"/>
  <c r="L2" i="99"/>
  <c r="L5" i="99" s="1"/>
  <c r="N5" i="99" s="1"/>
  <c r="F15" i="99"/>
  <c r="F6" i="99" s="1"/>
  <c r="AY1" i="99" s="1"/>
  <c r="BN17" i="99"/>
  <c r="BE7" i="99"/>
  <c r="D26" i="83"/>
  <c r="D23" i="83" s="1"/>
  <c r="D22" i="83" s="1"/>
  <c r="D60" i="83" s="1"/>
  <c r="N29" i="83"/>
  <c r="M33" i="89"/>
  <c r="M26" i="89" s="1"/>
  <c r="C29" i="76"/>
  <c r="D13" i="76"/>
  <c r="J16" i="76"/>
  <c r="D80" i="59"/>
  <c r="F80" i="59" s="1"/>
  <c r="G80" i="59" s="1"/>
  <c r="D8" i="77"/>
  <c r="F10" i="41"/>
  <c r="F8" i="41" s="1"/>
  <c r="H25" i="101"/>
  <c r="E25" i="101"/>
  <c r="U15" i="108"/>
  <c r="W16" i="108"/>
  <c r="F64" i="101"/>
  <c r="H64" i="101" s="1"/>
  <c r="E16" i="99"/>
  <c r="BJ16" i="99" s="1"/>
  <c r="N57" i="83"/>
  <c r="AJ4" i="94"/>
  <c r="N26" i="84"/>
  <c r="BC18" i="94"/>
  <c r="O28" i="76"/>
  <c r="N28" i="76"/>
  <c r="M28" i="76"/>
  <c r="I28" i="76"/>
  <c r="E17" i="41"/>
  <c r="E16" i="41" s="1"/>
  <c r="F18" i="41"/>
  <c r="F17" i="41" s="1"/>
  <c r="F16" i="41" s="1"/>
  <c r="E7" i="41"/>
  <c r="U27" i="108"/>
  <c r="W28" i="108"/>
  <c r="BB51" i="101"/>
  <c r="BC51" i="101" s="1"/>
  <c r="BO18" i="101"/>
  <c r="BC22" i="94"/>
  <c r="AW23" i="94"/>
  <c r="BD23" i="94" s="1"/>
  <c r="BA2" i="94"/>
  <c r="BA3" i="94" s="1"/>
  <c r="N17" i="84"/>
  <c r="N19" i="85"/>
  <c r="M49" i="84"/>
  <c r="AA51" i="84"/>
  <c r="BA5" i="88"/>
  <c r="BC6" i="88"/>
  <c r="AW7" i="94"/>
  <c r="M6" i="90"/>
  <c r="K5" i="90"/>
  <c r="M5" i="90" s="1"/>
  <c r="K34" i="90" s="1"/>
  <c r="G18" i="76"/>
  <c r="AR40" i="94"/>
  <c r="T26" i="84"/>
  <c r="BD50" i="101"/>
  <c r="BE50" i="101" s="1"/>
  <c r="BA49" i="101"/>
  <c r="BG50" i="101" s="1"/>
  <c r="AC45" i="108"/>
  <c r="AC44" i="108" s="1"/>
  <c r="AA44" i="108"/>
  <c r="BC18" i="101"/>
  <c r="BK18" i="101"/>
  <c r="BA20" i="101"/>
  <c r="G42" i="99"/>
  <c r="G64" i="99" s="1"/>
  <c r="H49" i="99"/>
  <c r="AY49" i="99" s="1"/>
  <c r="AZ49" i="99" s="1"/>
  <c r="BB49" i="99"/>
  <c r="BC49" i="99" s="1"/>
  <c r="BB18" i="99"/>
  <c r="BD18" i="99" s="1"/>
  <c r="BA28" i="99"/>
  <c r="U26" i="99"/>
  <c r="J26" i="98"/>
  <c r="L16" i="98"/>
  <c r="L26" i="98" s="1"/>
  <c r="BC14" i="94"/>
  <c r="BJ14" i="94" s="1"/>
  <c r="BJ24" i="94" s="1"/>
  <c r="BA24" i="94"/>
  <c r="BC24" i="94" s="1"/>
  <c r="F4" i="94"/>
  <c r="H5" i="90"/>
  <c r="J5" i="90" s="1"/>
  <c r="H34" i="90" s="1"/>
  <c r="AE34" i="90" s="1"/>
  <c r="J6" i="90"/>
  <c r="H22" i="82"/>
  <c r="H29" i="82" s="1"/>
  <c r="M23" i="82"/>
  <c r="M22" i="82" s="1"/>
  <c r="E77" i="103"/>
  <c r="E76" i="103" s="1"/>
  <c r="Y62" i="94"/>
  <c r="AY61" i="101"/>
  <c r="AZ61" i="101" s="1"/>
  <c r="B20" i="105"/>
  <c r="B44" i="103"/>
  <c r="B20" i="103"/>
  <c r="B5" i="103" s="1"/>
  <c r="B7" i="41"/>
  <c r="B41" i="41" s="1"/>
  <c r="J33" i="41"/>
  <c r="C43" i="77"/>
  <c r="C50" i="77" s="1"/>
  <c r="C6" i="77" s="1"/>
  <c r="C14" i="77" s="1"/>
  <c r="C40" i="77" s="1"/>
  <c r="AZ50" i="101"/>
  <c r="AO50" i="101"/>
  <c r="AN49" i="101"/>
  <c r="E24" i="101"/>
  <c r="BK24" i="101" s="1"/>
  <c r="E20" i="101"/>
  <c r="BK20" i="101" s="1"/>
  <c r="H20" i="101"/>
  <c r="H15" i="101" s="1"/>
  <c r="BA23" i="99"/>
  <c r="L23" i="99"/>
  <c r="I15" i="99"/>
  <c r="M26" i="84"/>
  <c r="E18" i="99"/>
  <c r="H18" i="99"/>
  <c r="AY18" i="99" s="1"/>
  <c r="AZ18" i="99" s="1"/>
  <c r="F26" i="99"/>
  <c r="H26" i="99" s="1"/>
  <c r="N61" i="84"/>
  <c r="W61" i="84" s="1"/>
  <c r="N49" i="89"/>
  <c r="N61" i="89" s="1"/>
  <c r="Y61" i="89" s="1"/>
  <c r="Y50" i="89"/>
  <c r="Z50" i="89" s="1"/>
  <c r="Z61" i="89" s="1"/>
  <c r="L67" i="89"/>
  <c r="M62" i="89"/>
  <c r="M61" i="89"/>
  <c r="AB61" i="89"/>
  <c r="E51" i="59"/>
  <c r="E13" i="61" s="1"/>
  <c r="G59" i="59"/>
  <c r="F69" i="59"/>
  <c r="H69" i="59" s="1"/>
  <c r="J15" i="104"/>
  <c r="E63" i="59"/>
  <c r="E14" i="61" s="1"/>
  <c r="J17" i="105"/>
  <c r="J13" i="104"/>
  <c r="E77" i="59"/>
  <c r="AY46" i="99"/>
  <c r="AY46" i="101"/>
  <c r="AZ46" i="101" s="1"/>
  <c r="G60" i="59"/>
  <c r="H27" i="59"/>
  <c r="BC33" i="101"/>
  <c r="K21" i="76"/>
  <c r="N21" i="76" s="1"/>
  <c r="X40" i="94"/>
  <c r="X62" i="94" s="1"/>
  <c r="AQ42" i="101"/>
  <c r="AF53" i="101"/>
  <c r="AF52" i="101" s="1"/>
  <c r="E91" i="104"/>
  <c r="AH42" i="99"/>
  <c r="F54" i="59"/>
  <c r="G54" i="59" s="1"/>
  <c r="AF36" i="99"/>
  <c r="AE40" i="94"/>
  <c r="U33" i="89"/>
  <c r="AC51" i="94"/>
  <c r="AC50" i="94" s="1"/>
  <c r="AY23" i="101"/>
  <c r="AZ23" i="101" s="1"/>
  <c r="E11" i="97"/>
  <c r="E14" i="97" s="1"/>
  <c r="F14" i="97" s="1"/>
  <c r="AP40" i="94"/>
  <c r="K20" i="104"/>
  <c r="J17" i="104"/>
  <c r="E10" i="103"/>
  <c r="K10" i="105"/>
  <c r="L20" i="104"/>
  <c r="AX17" i="99"/>
  <c r="AV15" i="99"/>
  <c r="BA17" i="99"/>
  <c r="BD17" i="99" s="1"/>
  <c r="L17" i="99"/>
  <c r="BA60" i="99"/>
  <c r="L58" i="101"/>
  <c r="AV57" i="101"/>
  <c r="BA22" i="101"/>
  <c r="L22" i="101"/>
  <c r="BA58" i="101"/>
  <c r="BA57" i="101" s="1"/>
  <c r="E22" i="99"/>
  <c r="BJ22" i="99" s="1"/>
  <c r="N22" i="99"/>
  <c r="AX17" i="101"/>
  <c r="AV15" i="101"/>
  <c r="BA17" i="101"/>
  <c r="BD17" i="101" s="1"/>
  <c r="L17" i="101"/>
  <c r="L57" i="99"/>
  <c r="N57" i="99" s="1"/>
  <c r="N58" i="99"/>
  <c r="E58" i="99"/>
  <c r="E57" i="99" s="1"/>
  <c r="AV54" i="94"/>
  <c r="AY14" i="101"/>
  <c r="AZ14" i="101" s="1"/>
  <c r="BM20" i="99"/>
  <c r="U28" i="89"/>
  <c r="U27" i="89" s="1"/>
  <c r="T27" i="89"/>
  <c r="T26" i="89" s="1"/>
  <c r="AA42" i="99"/>
  <c r="AA64" i="99" s="1"/>
  <c r="W14" i="101"/>
  <c r="G5" i="105"/>
  <c r="E10" i="104"/>
  <c r="F5" i="105"/>
  <c r="D5" i="103"/>
  <c r="AY20" i="101"/>
  <c r="AZ20" i="101" s="1"/>
  <c r="M62" i="94"/>
  <c r="E20" i="105"/>
  <c r="E20" i="104"/>
  <c r="C39" i="103"/>
  <c r="Q19" i="77"/>
  <c r="E78" i="59"/>
  <c r="D39" i="103"/>
  <c r="AJ42" i="101"/>
  <c r="J13" i="105"/>
  <c r="J15" i="105"/>
  <c r="BG23" i="94"/>
  <c r="J22" i="105"/>
  <c r="K10" i="104"/>
  <c r="J18" i="104"/>
  <c r="C5" i="104"/>
  <c r="AO44" i="99"/>
  <c r="AO43" i="99" s="1"/>
  <c r="BB62" i="101"/>
  <c r="BD62" i="101" s="1"/>
  <c r="AY22" i="101"/>
  <c r="AZ22" i="101" s="1"/>
  <c r="T54" i="94"/>
  <c r="Z40" i="94"/>
  <c r="Z62" i="94" s="1"/>
  <c r="AV10" i="94"/>
  <c r="AZ34" i="101"/>
  <c r="AT58" i="94"/>
  <c r="AX53" i="101"/>
  <c r="AX52" i="101" s="1"/>
  <c r="AV12" i="94"/>
  <c r="B114" i="103"/>
  <c r="BB59" i="99"/>
  <c r="BD59" i="99" s="1"/>
  <c r="D78" i="59"/>
  <c r="F78" i="59" s="1"/>
  <c r="AU58" i="94"/>
  <c r="AB24" i="94"/>
  <c r="AV7" i="94"/>
  <c r="BM21" i="99"/>
  <c r="BP24" i="99"/>
  <c r="E151" i="103"/>
  <c r="E150" i="103" s="1"/>
  <c r="BP21" i="99"/>
  <c r="D5" i="104"/>
  <c r="B10" i="104"/>
  <c r="B5" i="104" s="1"/>
  <c r="B118" i="103"/>
  <c r="E10" i="59"/>
  <c r="E10" i="105"/>
  <c r="J14" i="104"/>
  <c r="Q23" i="77"/>
  <c r="K20" i="105"/>
  <c r="S58" i="94"/>
  <c r="J24" i="104"/>
  <c r="B39" i="103"/>
  <c r="F5" i="103"/>
  <c r="C113" i="103"/>
  <c r="AN57" i="99"/>
  <c r="BQ21" i="101"/>
  <c r="AV14" i="94"/>
  <c r="S13" i="94"/>
  <c r="S4" i="94" s="1"/>
  <c r="BC10" i="99"/>
  <c r="H71" i="59"/>
  <c r="BB56" i="101"/>
  <c r="BD56" i="101" s="1"/>
  <c r="AC42" i="101"/>
  <c r="AC64" i="101" s="1"/>
  <c r="BF46" i="101"/>
  <c r="AY25" i="99"/>
  <c r="AA42" i="101"/>
  <c r="AA64" i="101" s="1"/>
  <c r="V60" i="101"/>
  <c r="AY56" i="101"/>
  <c r="AZ56" i="101" s="1"/>
  <c r="BN24" i="101"/>
  <c r="BB10" i="101"/>
  <c r="BD10" i="101" s="1"/>
  <c r="O62" i="94"/>
  <c r="AC44" i="94"/>
  <c r="BG14" i="94"/>
  <c r="BG24" i="94" s="1"/>
  <c r="BB46" i="101"/>
  <c r="AY12" i="101"/>
  <c r="AZ12" i="101" s="1"/>
  <c r="AU56" i="94"/>
  <c r="AU55" i="94" s="1"/>
  <c r="AV20" i="94"/>
  <c r="F41" i="84"/>
  <c r="BF10" i="101"/>
  <c r="BB32" i="99"/>
  <c r="BC32" i="99" s="1"/>
  <c r="V28" i="99"/>
  <c r="W28" i="99" s="1"/>
  <c r="BC10" i="101"/>
  <c r="BE10" i="101" s="1"/>
  <c r="AY56" i="99"/>
  <c r="AZ56" i="99" s="1"/>
  <c r="BB10" i="99"/>
  <c r="BD10" i="99" s="1"/>
  <c r="BB59" i="101"/>
  <c r="AE43" i="101"/>
  <c r="AF43" i="101" s="1"/>
  <c r="G24" i="59"/>
  <c r="AC64" i="99"/>
  <c r="AL58" i="94"/>
  <c r="BP20" i="99"/>
  <c r="G33" i="59"/>
  <c r="F33" i="89"/>
  <c r="F26" i="59"/>
  <c r="F10" i="61" s="1"/>
  <c r="E6" i="108"/>
  <c r="E53" i="108" s="1"/>
  <c r="C27" i="77"/>
  <c r="D27" i="77" s="1"/>
  <c r="B77" i="59"/>
  <c r="B75" i="59" s="1"/>
  <c r="Y10" i="108"/>
  <c r="Q10" i="108"/>
  <c r="Q6" i="108" s="1"/>
  <c r="Q53" i="108" s="1"/>
  <c r="W10" i="108"/>
  <c r="AC10" i="108"/>
  <c r="U10" i="108"/>
  <c r="O6" i="108"/>
  <c r="O53" i="108" s="1"/>
  <c r="AA10" i="108"/>
  <c r="S10" i="108"/>
  <c r="C22" i="61"/>
  <c r="D24" i="61" s="1"/>
  <c r="D25" i="61" s="1"/>
  <c r="P42" i="99"/>
  <c r="P64" i="99" s="1"/>
  <c r="W56" i="101"/>
  <c r="AE57" i="101"/>
  <c r="AY42" i="94"/>
  <c r="F76" i="104"/>
  <c r="K5" i="104" s="1"/>
  <c r="H39" i="41"/>
  <c r="K25" i="82" s="1"/>
  <c r="AY13" i="101"/>
  <c r="AZ13" i="101" s="1"/>
  <c r="AW50" i="94"/>
  <c r="X35" i="89"/>
  <c r="BF61" i="101"/>
  <c r="L20" i="105"/>
  <c r="E91" i="103"/>
  <c r="AL42" i="101"/>
  <c r="BF20" i="101"/>
  <c r="AW60" i="99"/>
  <c r="AO57" i="99"/>
  <c r="AW60" i="101"/>
  <c r="W59" i="99"/>
  <c r="BM19" i="99"/>
  <c r="AB41" i="94"/>
  <c r="AC41" i="94" s="1"/>
  <c r="AX10" i="94"/>
  <c r="AY10" i="94" s="1"/>
  <c r="AF44" i="99"/>
  <c r="AY10" i="99"/>
  <c r="AZ10" i="99" s="1"/>
  <c r="BJ23" i="94"/>
  <c r="AE60" i="101"/>
  <c r="T59" i="94"/>
  <c r="T58" i="94" s="1"/>
  <c r="BN21" i="101"/>
  <c r="AT55" i="94"/>
  <c r="BF56" i="101"/>
  <c r="Y64" i="101"/>
  <c r="AY53" i="99"/>
  <c r="BC33" i="99"/>
  <c r="AA40" i="94"/>
  <c r="AA24" i="94"/>
  <c r="AW24" i="94" s="1"/>
  <c r="BJ19" i="94"/>
  <c r="Z34" i="89"/>
  <c r="D76" i="59"/>
  <c r="AX60" i="99"/>
  <c r="BQ24" i="101"/>
  <c r="AX60" i="101"/>
  <c r="C13" i="98"/>
  <c r="C27" i="98" s="1"/>
  <c r="AK58" i="94"/>
  <c r="I21" i="41"/>
  <c r="BF37" i="101"/>
  <c r="F27" i="89"/>
  <c r="G67" i="59"/>
  <c r="H67" i="59"/>
  <c r="K6" i="105"/>
  <c r="J6" i="105" s="1"/>
  <c r="E81" i="104"/>
  <c r="K20" i="103"/>
  <c r="J20" i="103" s="1"/>
  <c r="BF62" i="101"/>
  <c r="BF13" i="101"/>
  <c r="AF57" i="99"/>
  <c r="V52" i="99"/>
  <c r="BB37" i="101"/>
  <c r="AM26" i="101"/>
  <c r="BA26" i="101" s="1"/>
  <c r="AY59" i="99"/>
  <c r="AZ59" i="99" s="1"/>
  <c r="BN20" i="99"/>
  <c r="BB14" i="99"/>
  <c r="BD14" i="99" s="1"/>
  <c r="AX56" i="94"/>
  <c r="AY56" i="94" s="1"/>
  <c r="W23" i="101"/>
  <c r="BC46" i="101"/>
  <c r="BC11" i="99"/>
  <c r="G73" i="59"/>
  <c r="AE57" i="99"/>
  <c r="AX42" i="94"/>
  <c r="D16" i="97" s="1"/>
  <c r="D17" i="97" s="1"/>
  <c r="F38" i="59"/>
  <c r="D35" i="59"/>
  <c r="D11" i="61" s="1"/>
  <c r="D77" i="59"/>
  <c r="L10" i="103"/>
  <c r="L5" i="103" s="1"/>
  <c r="AY62" i="101"/>
  <c r="AZ62" i="101" s="1"/>
  <c r="BC37" i="101"/>
  <c r="AY13" i="99"/>
  <c r="AZ13" i="99" s="1"/>
  <c r="AS40" i="94"/>
  <c r="W33" i="99"/>
  <c r="BJ17" i="94"/>
  <c r="AO37" i="99"/>
  <c r="AC34" i="94"/>
  <c r="F27" i="84"/>
  <c r="V27" i="84" s="1"/>
  <c r="AK50" i="94"/>
  <c r="AX22" i="94"/>
  <c r="AY22" i="94" s="1"/>
  <c r="J12" i="105"/>
  <c r="J8" i="104"/>
  <c r="AU24" i="94"/>
  <c r="AY36" i="101"/>
  <c r="AZ36" i="101" s="1"/>
  <c r="AZ25" i="99"/>
  <c r="AV57" i="94"/>
  <c r="E81" i="105"/>
  <c r="E81" i="103"/>
  <c r="I25" i="109"/>
  <c r="L25" i="109" s="1"/>
  <c r="BB36" i="99"/>
  <c r="R64" i="101"/>
  <c r="G76" i="105"/>
  <c r="L5" i="105" s="1"/>
  <c r="BG17" i="94"/>
  <c r="AV22" i="94"/>
  <c r="AY14" i="99"/>
  <c r="AZ14" i="99" s="1"/>
  <c r="H43" i="59"/>
  <c r="H12" i="61" s="1"/>
  <c r="F76" i="105"/>
  <c r="K5" i="105" s="1"/>
  <c r="BB53" i="99"/>
  <c r="BC53" i="99" s="1"/>
  <c r="BC36" i="99"/>
  <c r="BB13" i="99"/>
  <c r="BD13" i="99" s="1"/>
  <c r="AY11" i="101"/>
  <c r="AZ11" i="101" s="1"/>
  <c r="AF37" i="99"/>
  <c r="I15" i="41"/>
  <c r="I10" i="109"/>
  <c r="L10" i="109" s="1"/>
  <c r="E155" i="103"/>
  <c r="AH42" i="101"/>
  <c r="W60" i="101"/>
  <c r="BF59" i="101"/>
  <c r="AY36" i="99"/>
  <c r="AZ36" i="99" s="1"/>
  <c r="BB22" i="101"/>
  <c r="W11" i="101"/>
  <c r="AX59" i="94"/>
  <c r="AY59" i="94" s="1"/>
  <c r="AC42" i="94"/>
  <c r="AT24" i="94"/>
  <c r="AX20" i="94"/>
  <c r="AY20" i="94" s="1"/>
  <c r="AV42" i="94"/>
  <c r="AX7" i="94"/>
  <c r="AV9" i="94"/>
  <c r="BG22" i="94"/>
  <c r="AU14" i="94"/>
  <c r="W12" i="101"/>
  <c r="AO25" i="99"/>
  <c r="AW34" i="94"/>
  <c r="AX14" i="94"/>
  <c r="AY14" i="94" s="1"/>
  <c r="AY13" i="94" s="1"/>
  <c r="BB25" i="99"/>
  <c r="BD25" i="99" s="1"/>
  <c r="AY11" i="99"/>
  <c r="AZ11" i="99" s="1"/>
  <c r="AY9" i="99"/>
  <c r="BG19" i="94"/>
  <c r="G72" i="59"/>
  <c r="T64" i="99"/>
  <c r="AY31" i="94"/>
  <c r="Q62" i="94"/>
  <c r="AW46" i="94"/>
  <c r="H70" i="59"/>
  <c r="G70" i="59"/>
  <c r="E91" i="105"/>
  <c r="L10" i="105"/>
  <c r="K6" i="104"/>
  <c r="J6" i="104" s="1"/>
  <c r="BB20" i="101"/>
  <c r="BD20" i="101" s="1"/>
  <c r="R64" i="99"/>
  <c r="BB37" i="99"/>
  <c r="BB12" i="101"/>
  <c r="BD12" i="101" s="1"/>
  <c r="BC13" i="99"/>
  <c r="AV59" i="94"/>
  <c r="AX44" i="94"/>
  <c r="AY35" i="94"/>
  <c r="BJ22" i="94"/>
  <c r="AO13" i="99"/>
  <c r="AD26" i="99"/>
  <c r="AD64" i="99" s="1"/>
  <c r="AY12" i="99"/>
  <c r="AZ12" i="99" s="1"/>
  <c r="BH19" i="94"/>
  <c r="H39" i="59"/>
  <c r="H30" i="59"/>
  <c r="G30" i="59"/>
  <c r="F68" i="59"/>
  <c r="AF53" i="99"/>
  <c r="AF52" i="99" s="1"/>
  <c r="AE52" i="99"/>
  <c r="F52" i="89"/>
  <c r="D10" i="59"/>
  <c r="F52" i="84"/>
  <c r="T52" i="84" s="1"/>
  <c r="BD63" i="99"/>
  <c r="BC63" i="99"/>
  <c r="D63" i="59"/>
  <c r="D14" i="61" s="1"/>
  <c r="AX35" i="94"/>
  <c r="AU4" i="94"/>
  <c r="BB9" i="99"/>
  <c r="BD9" i="99" s="1"/>
  <c r="AV60" i="94"/>
  <c r="G42" i="109"/>
  <c r="M42" i="109" s="1"/>
  <c r="T64" i="101"/>
  <c r="H61" i="59"/>
  <c r="G61" i="59"/>
  <c r="I36" i="109"/>
  <c r="L36" i="109" s="1"/>
  <c r="F33" i="84"/>
  <c r="V33" i="84" s="1"/>
  <c r="V36" i="84"/>
  <c r="R2" i="101"/>
  <c r="S2" i="101" s="1"/>
  <c r="U2" i="101" s="1"/>
  <c r="W2" i="101" s="1"/>
  <c r="J25" i="76"/>
  <c r="G76" i="103"/>
  <c r="F29" i="77"/>
  <c r="H10" i="109"/>
  <c r="H15" i="41"/>
  <c r="BN22" i="101"/>
  <c r="BQ22" i="101"/>
  <c r="BO22" i="101"/>
  <c r="AF61" i="99"/>
  <c r="AF60" i="99" s="1"/>
  <c r="AY61" i="99"/>
  <c r="AZ61" i="99" s="1"/>
  <c r="AE60" i="99"/>
  <c r="AY44" i="99"/>
  <c r="AZ44" i="99" s="1"/>
  <c r="BC44" i="99"/>
  <c r="BE44" i="99" s="1"/>
  <c r="V43" i="99"/>
  <c r="BB44" i="99"/>
  <c r="BF34" i="101"/>
  <c r="AO25" i="101"/>
  <c r="AF16" i="101"/>
  <c r="AE15" i="101"/>
  <c r="AF15" i="101" s="1"/>
  <c r="AF8" i="101"/>
  <c r="AO61" i="99"/>
  <c r="AO60" i="99" s="1"/>
  <c r="AN60" i="99"/>
  <c r="BB16" i="99"/>
  <c r="W16" i="99"/>
  <c r="V15" i="99"/>
  <c r="V6" i="99" s="1"/>
  <c r="AY16" i="99"/>
  <c r="AZ16" i="99" s="1"/>
  <c r="V57" i="101"/>
  <c r="AY58" i="101"/>
  <c r="AZ58" i="101" s="1"/>
  <c r="BF58" i="101"/>
  <c r="BB58" i="101"/>
  <c r="W58" i="101"/>
  <c r="W57" i="101" s="1"/>
  <c r="AX33" i="101"/>
  <c r="AX26" i="101" s="1"/>
  <c r="AW26" i="101"/>
  <c r="BF28" i="101"/>
  <c r="V26" i="101"/>
  <c r="BB28" i="101"/>
  <c r="BC28" i="101" s="1"/>
  <c r="W28" i="101"/>
  <c r="W26" i="101" s="1"/>
  <c r="AO23" i="101"/>
  <c r="AO11" i="101"/>
  <c r="AY58" i="99"/>
  <c r="AZ58" i="99" s="1"/>
  <c r="BB58" i="99"/>
  <c r="W58" i="99"/>
  <c r="V57" i="99"/>
  <c r="AZ33" i="99"/>
  <c r="AN26" i="99"/>
  <c r="AO33" i="99"/>
  <c r="AO26" i="99" s="1"/>
  <c r="AY23" i="99"/>
  <c r="AZ23" i="99" s="1"/>
  <c r="W23" i="99"/>
  <c r="BB23" i="99"/>
  <c r="BG21" i="94"/>
  <c r="BJ21" i="94"/>
  <c r="BH21" i="94"/>
  <c r="T52" i="89"/>
  <c r="BB11" i="101"/>
  <c r="BD11" i="101" s="1"/>
  <c r="AO22" i="99"/>
  <c r="BB19" i="99"/>
  <c r="W19" i="99"/>
  <c r="AY19" i="99"/>
  <c r="AZ19" i="99" s="1"/>
  <c r="AV55" i="94"/>
  <c r="AY32" i="94"/>
  <c r="AX32" i="94"/>
  <c r="T32" i="94"/>
  <c r="BC37" i="99"/>
  <c r="AV17" i="94"/>
  <c r="AX17" i="94"/>
  <c r="AY17" i="94" s="1"/>
  <c r="T17" i="94"/>
  <c r="BF23" i="101"/>
  <c r="BB56" i="99"/>
  <c r="Y64" i="99"/>
  <c r="AW56" i="94"/>
  <c r="R55" i="94"/>
  <c r="T56" i="94"/>
  <c r="T55" i="94" s="1"/>
  <c r="AY34" i="94"/>
  <c r="AX34" i="94"/>
  <c r="T34" i="94"/>
  <c r="AZ59" i="101"/>
  <c r="AO59" i="101"/>
  <c r="AO57" i="101" s="1"/>
  <c r="BC36" i="101"/>
  <c r="AC56" i="94"/>
  <c r="AC55" i="94" s="1"/>
  <c r="AU51" i="94"/>
  <c r="AU50" i="94" s="1"/>
  <c r="AU40" i="94" s="1"/>
  <c r="AT50" i="94"/>
  <c r="AT40" i="94" s="1"/>
  <c r="AY44" i="94"/>
  <c r="AV8" i="94"/>
  <c r="AX8" i="94"/>
  <c r="AY8" i="94" s="1"/>
  <c r="T8" i="94"/>
  <c r="AC35" i="94"/>
  <c r="S24" i="94"/>
  <c r="T26" i="94"/>
  <c r="AX26" i="94"/>
  <c r="AY26" i="94" s="1"/>
  <c r="AC4" i="94"/>
  <c r="BC14" i="99"/>
  <c r="BB12" i="99"/>
  <c r="BD12" i="99" s="1"/>
  <c r="BP22" i="99"/>
  <c r="J22" i="76"/>
  <c r="F76" i="103"/>
  <c r="E76" i="59"/>
  <c r="W19" i="101"/>
  <c r="AY19" i="101"/>
  <c r="AZ19" i="101" s="1"/>
  <c r="BF19" i="101"/>
  <c r="BB19" i="101"/>
  <c r="BD59" i="101"/>
  <c r="BC59" i="101"/>
  <c r="BC9" i="101"/>
  <c r="AY9" i="101"/>
  <c r="AZ9" i="101" s="1"/>
  <c r="BF9" i="101"/>
  <c r="BB9" i="101"/>
  <c r="BD9" i="101" s="1"/>
  <c r="W9" i="101"/>
  <c r="H20" i="41"/>
  <c r="AW57" i="101"/>
  <c r="AX58" i="101"/>
  <c r="AX57" i="101" s="1"/>
  <c r="AY24" i="101"/>
  <c r="AZ24" i="101" s="1"/>
  <c r="W24" i="101"/>
  <c r="BB24" i="101"/>
  <c r="BF24" i="101"/>
  <c r="AW57" i="99"/>
  <c r="AX58" i="99"/>
  <c r="AX57" i="99" s="1"/>
  <c r="W53" i="101"/>
  <c r="W52" i="101" s="1"/>
  <c r="AY53" i="101"/>
  <c r="V52" i="101"/>
  <c r="AX44" i="101"/>
  <c r="AO33" i="101"/>
  <c r="AN26" i="101"/>
  <c r="AZ33" i="101"/>
  <c r="BO23" i="101"/>
  <c r="BN23" i="101"/>
  <c r="BQ23" i="101"/>
  <c r="BQ16" i="101"/>
  <c r="BQ26" i="101" s="1"/>
  <c r="BO16" i="101"/>
  <c r="BL26" i="101"/>
  <c r="BO26" i="101" s="1"/>
  <c r="BN16" i="101"/>
  <c r="BN26" i="101" s="1"/>
  <c r="AE26" i="99"/>
  <c r="AF34" i="99"/>
  <c r="BC34" i="99"/>
  <c r="BB28" i="99"/>
  <c r="BC28" i="99" s="1"/>
  <c r="AY21" i="99"/>
  <c r="AZ21" i="99" s="1"/>
  <c r="BB21" i="99"/>
  <c r="W21" i="99"/>
  <c r="BG20" i="94"/>
  <c r="BJ20" i="94"/>
  <c r="BH20" i="94"/>
  <c r="BB14" i="101"/>
  <c r="BD14" i="101" s="1"/>
  <c r="BF11" i="101"/>
  <c r="AO53" i="99"/>
  <c r="AN52" i="99"/>
  <c r="AZ53" i="99"/>
  <c r="AE15" i="99"/>
  <c r="AF15" i="99" s="1"/>
  <c r="AF16" i="99"/>
  <c r="BB13" i="101"/>
  <c r="BD13" i="101" s="1"/>
  <c r="BM23" i="99"/>
  <c r="BP23" i="99"/>
  <c r="BN23" i="99"/>
  <c r="BO16" i="99"/>
  <c r="BL26" i="99"/>
  <c r="BO26" i="99" s="1"/>
  <c r="W8" i="99"/>
  <c r="BB8" i="99"/>
  <c r="AX57" i="94"/>
  <c r="AY57" i="94" s="1"/>
  <c r="AW44" i="94"/>
  <c r="T44" i="94"/>
  <c r="AL7" i="94"/>
  <c r="AL4" i="94" s="1"/>
  <c r="AK4" i="94"/>
  <c r="AO44" i="101"/>
  <c r="AN43" i="101"/>
  <c r="BB36" i="101"/>
  <c r="BF36" i="101"/>
  <c r="BB33" i="99"/>
  <c r="AV41" i="94"/>
  <c r="T41" i="94"/>
  <c r="AY41" i="94"/>
  <c r="AX41" i="94"/>
  <c r="V62" i="94"/>
  <c r="AE26" i="101"/>
  <c r="BF33" i="101"/>
  <c r="BQ20" i="101"/>
  <c r="BP16" i="101"/>
  <c r="BM26" i="101"/>
  <c r="BP26" i="101" s="1"/>
  <c r="BC12" i="101"/>
  <c r="AX16" i="99"/>
  <c r="AW15" i="99"/>
  <c r="D5" i="98"/>
  <c r="F5" i="98" s="1"/>
  <c r="F8" i="98"/>
  <c r="D13" i="98"/>
  <c r="H23" i="59"/>
  <c r="H20" i="59" s="1"/>
  <c r="H9" i="61" s="1"/>
  <c r="F20" i="59"/>
  <c r="F9" i="61" s="1"/>
  <c r="G23" i="59"/>
  <c r="AB4" i="94"/>
  <c r="BB20" i="99"/>
  <c r="AV56" i="94"/>
  <c r="BM22" i="99"/>
  <c r="J7" i="103"/>
  <c r="K6" i="103"/>
  <c r="J23" i="76"/>
  <c r="J20" i="76"/>
  <c r="G37" i="109"/>
  <c r="M37" i="109" s="1"/>
  <c r="H36" i="109"/>
  <c r="AJ42" i="99"/>
  <c r="BB54" i="99"/>
  <c r="AO54" i="99"/>
  <c r="AZ54" i="99"/>
  <c r="AN60" i="101"/>
  <c r="AO61" i="101"/>
  <c r="AO60" i="101" s="1"/>
  <c r="BB61" i="101"/>
  <c r="BC61" i="101" s="1"/>
  <c r="BE61" i="101" s="1"/>
  <c r="BD48" i="101"/>
  <c r="BE48" i="101" s="1"/>
  <c r="BB34" i="101"/>
  <c r="BN19" i="101"/>
  <c r="BQ19" i="101"/>
  <c r="BO19" i="101"/>
  <c r="AO8" i="101"/>
  <c r="AO46" i="99"/>
  <c r="AZ46" i="99"/>
  <c r="BC44" i="101"/>
  <c r="BE44" i="101" s="1"/>
  <c r="BB44" i="101"/>
  <c r="V43" i="101"/>
  <c r="BF44" i="101"/>
  <c r="AY44" i="101"/>
  <c r="AZ44" i="101" s="1"/>
  <c r="W25" i="101"/>
  <c r="AY25" i="101"/>
  <c r="AZ25" i="101" s="1"/>
  <c r="BB25" i="101"/>
  <c r="BF25" i="101"/>
  <c r="AO22" i="101"/>
  <c r="AW15" i="101"/>
  <c r="AX16" i="101"/>
  <c r="BD48" i="99"/>
  <c r="BE48" i="99" s="1"/>
  <c r="R2" i="99"/>
  <c r="S2" i="99" s="1"/>
  <c r="U2" i="99" s="1"/>
  <c r="W2" i="99" s="1"/>
  <c r="BF14" i="101"/>
  <c r="S50" i="94"/>
  <c r="AX51" i="94"/>
  <c r="AY51" i="94" s="1"/>
  <c r="AV51" i="94"/>
  <c r="BN16" i="99"/>
  <c r="BK26" i="99"/>
  <c r="BN26" i="99" s="1"/>
  <c r="BM16" i="99"/>
  <c r="BM26" i="99" s="1"/>
  <c r="BP16" i="99"/>
  <c r="BP26" i="99" s="1"/>
  <c r="BG18" i="94"/>
  <c r="BJ18" i="94"/>
  <c r="BH18" i="94"/>
  <c r="AY22" i="99"/>
  <c r="AZ22" i="99" s="1"/>
  <c r="BB22" i="99"/>
  <c r="W22" i="99"/>
  <c r="AX60" i="94"/>
  <c r="AY60" i="94" s="1"/>
  <c r="AL56" i="94"/>
  <c r="AL55" i="94" s="1"/>
  <c r="AJ55" i="94"/>
  <c r="AJ40" i="94" s="1"/>
  <c r="AK24" i="94"/>
  <c r="AL31" i="94"/>
  <c r="AL24" i="94" s="1"/>
  <c r="AX31" i="94"/>
  <c r="AV23" i="94"/>
  <c r="AX23" i="94"/>
  <c r="AY23" i="94" s="1"/>
  <c r="T23" i="94"/>
  <c r="AX21" i="94"/>
  <c r="AY21" i="94" s="1"/>
  <c r="T21" i="94"/>
  <c r="AV21" i="94"/>
  <c r="T11" i="94"/>
  <c r="AV11" i="94"/>
  <c r="AX11" i="94"/>
  <c r="AY11" i="94" s="1"/>
  <c r="AX9" i="94"/>
  <c r="AY9" i="94" s="1"/>
  <c r="F11" i="97"/>
  <c r="BF22" i="101"/>
  <c r="BN20" i="101"/>
  <c r="BO24" i="99"/>
  <c r="BM24" i="99"/>
  <c r="AO11" i="99"/>
  <c r="AK55" i="94"/>
  <c r="AX54" i="94"/>
  <c r="AY54" i="94" s="1"/>
  <c r="AV44" i="94"/>
  <c r="BF24" i="94"/>
  <c r="BI14" i="94"/>
  <c r="BP19" i="99"/>
  <c r="BC12" i="99"/>
  <c r="L10" i="104"/>
  <c r="J12" i="103"/>
  <c r="K10" i="103"/>
  <c r="J21" i="105"/>
  <c r="E165" i="103"/>
  <c r="T10" i="108"/>
  <c r="G29" i="77"/>
  <c r="H29" i="77" s="1"/>
  <c r="BN25" i="101"/>
  <c r="BQ25" i="101"/>
  <c r="BO25" i="101"/>
  <c r="AN53" i="101"/>
  <c r="BB53" i="101" s="1"/>
  <c r="BC13" i="101"/>
  <c r="AX44" i="99"/>
  <c r="BC54" i="101"/>
  <c r="BD54" i="101"/>
  <c r="AF37" i="101"/>
  <c r="AF26" i="101" s="1"/>
  <c r="BA37" i="101"/>
  <c r="BG37" i="101" s="1"/>
  <c r="AO16" i="101"/>
  <c r="AN15" i="101"/>
  <c r="AN6" i="101" s="1"/>
  <c r="BB62" i="99"/>
  <c r="W62" i="99"/>
  <c r="W60" i="99" s="1"/>
  <c r="AY62" i="99"/>
  <c r="AZ62" i="99" s="1"/>
  <c r="AX34" i="99"/>
  <c r="AX26" i="99" s="1"/>
  <c r="AW26" i="99"/>
  <c r="AY24" i="99"/>
  <c r="AZ24" i="99" s="1"/>
  <c r="W24" i="99"/>
  <c r="BB24" i="99"/>
  <c r="AY21" i="101"/>
  <c r="AZ21" i="101" s="1"/>
  <c r="BF21" i="101"/>
  <c r="BB21" i="101"/>
  <c r="W21" i="101"/>
  <c r="V15" i="101"/>
  <c r="AY16" i="101"/>
  <c r="AZ16" i="101" s="1"/>
  <c r="BF16" i="101"/>
  <c r="BB16" i="101"/>
  <c r="W16" i="101"/>
  <c r="AO12" i="101"/>
  <c r="BF8" i="101"/>
  <c r="BB8" i="101"/>
  <c r="W8" i="101"/>
  <c r="BC8" i="101"/>
  <c r="AY8" i="101"/>
  <c r="BB61" i="99"/>
  <c r="BC61" i="99" s="1"/>
  <c r="BE61" i="99" s="1"/>
  <c r="BB34" i="99"/>
  <c r="BM25" i="99"/>
  <c r="BP25" i="99"/>
  <c r="BN25" i="99"/>
  <c r="T51" i="94"/>
  <c r="T50" i="94" s="1"/>
  <c r="AO36" i="101"/>
  <c r="BC14" i="101"/>
  <c r="BC11" i="101"/>
  <c r="AO14" i="99"/>
  <c r="AC59" i="94"/>
  <c r="AC58" i="94" s="1"/>
  <c r="AB58" i="94"/>
  <c r="AV6" i="94"/>
  <c r="AY6" i="94"/>
  <c r="AX6" i="94"/>
  <c r="T6" i="94"/>
  <c r="AO9" i="99"/>
  <c r="AX18" i="94"/>
  <c r="AY18" i="94" s="1"/>
  <c r="T18" i="94"/>
  <c r="BB23" i="101"/>
  <c r="AF8" i="99"/>
  <c r="AL44" i="94"/>
  <c r="AX19" i="94"/>
  <c r="AY19" i="94" s="1"/>
  <c r="T19" i="94"/>
  <c r="AV19" i="94"/>
  <c r="BC34" i="101"/>
  <c r="BB33" i="101"/>
  <c r="BF12" i="101"/>
  <c r="BB46" i="99"/>
  <c r="AO16" i="99"/>
  <c r="AN15" i="99"/>
  <c r="AX12" i="94"/>
  <c r="AY12" i="94" s="1"/>
  <c r="AT4" i="94"/>
  <c r="G43" i="59"/>
  <c r="G12" i="61" s="1"/>
  <c r="BB11" i="99"/>
  <c r="BD11" i="99" s="1"/>
  <c r="BE11" i="99" s="1"/>
  <c r="AY7" i="94"/>
  <c r="AY20" i="99"/>
  <c r="AZ20" i="99" s="1"/>
  <c r="E18" i="109"/>
  <c r="F18" i="109" s="1"/>
  <c r="C17" i="109"/>
  <c r="B45" i="109"/>
  <c r="F46" i="109"/>
  <c r="G28" i="98" l="1"/>
  <c r="H15" i="99"/>
  <c r="Y41" i="108"/>
  <c r="W40" i="108"/>
  <c r="AE5" i="90"/>
  <c r="E41" i="41"/>
  <c r="BD6" i="88"/>
  <c r="H31" i="41"/>
  <c r="AE6" i="90"/>
  <c r="M15" i="76"/>
  <c r="H15" i="76"/>
  <c r="BE18" i="101"/>
  <c r="BA42" i="101"/>
  <c r="G79" i="59"/>
  <c r="H79" i="59"/>
  <c r="E13" i="89"/>
  <c r="F14" i="89" s="1"/>
  <c r="E15" i="89" s="1"/>
  <c r="N31" i="88"/>
  <c r="F10" i="59"/>
  <c r="H10" i="59" s="1"/>
  <c r="J10" i="104"/>
  <c r="BB60" i="101"/>
  <c r="E5" i="105"/>
  <c r="AX15" i="101"/>
  <c r="AX6" i="101" s="1"/>
  <c r="J10" i="105"/>
  <c r="BD46" i="101"/>
  <c r="BE46" i="101" s="1"/>
  <c r="AY52" i="99"/>
  <c r="E5" i="103"/>
  <c r="J20" i="104"/>
  <c r="AY60" i="101"/>
  <c r="AZ60" i="101" s="1"/>
  <c r="F51" i="59"/>
  <c r="F13" i="61" s="1"/>
  <c r="BE14" i="99"/>
  <c r="BI24" i="94"/>
  <c r="BD53" i="99"/>
  <c r="G20" i="59"/>
  <c r="G9" i="61" s="1"/>
  <c r="BE12" i="99"/>
  <c r="BD22" i="101"/>
  <c r="AV42" i="101"/>
  <c r="BE14" i="101"/>
  <c r="BC62" i="101"/>
  <c r="Q22" i="77"/>
  <c r="H15" i="109"/>
  <c r="K15" i="109" s="1"/>
  <c r="D14" i="59"/>
  <c r="F53" i="84"/>
  <c r="T53" i="84" s="1"/>
  <c r="F58" i="84"/>
  <c r="T58" i="84" s="1"/>
  <c r="T51" i="89"/>
  <c r="F27" i="77"/>
  <c r="G26" i="59"/>
  <c r="G10" i="61" s="1"/>
  <c r="I48" i="109"/>
  <c r="L48" i="109" s="1"/>
  <c r="H26" i="59"/>
  <c r="H10" i="61" s="1"/>
  <c r="G27" i="77"/>
  <c r="O24" i="76"/>
  <c r="L24" i="76"/>
  <c r="H54" i="59"/>
  <c r="H51" i="59" s="1"/>
  <c r="H13" i="61" s="1"/>
  <c r="H25" i="41"/>
  <c r="K25" i="41" s="1"/>
  <c r="H26" i="109"/>
  <c r="K26" i="109" s="1"/>
  <c r="E5" i="104"/>
  <c r="D9" i="59"/>
  <c r="F60" i="89"/>
  <c r="AF42" i="101"/>
  <c r="F7" i="41"/>
  <c r="F41" i="41" s="1"/>
  <c r="D64" i="84"/>
  <c r="D66" i="89"/>
  <c r="D68" i="89" s="1"/>
  <c r="I22" i="109"/>
  <c r="L22" i="109" s="1"/>
  <c r="AZ49" i="101"/>
  <c r="AO49" i="101"/>
  <c r="BK25" i="101"/>
  <c r="F13" i="76"/>
  <c r="D29" i="76"/>
  <c r="R5" i="88"/>
  <c r="N29" i="88"/>
  <c r="Y49" i="108"/>
  <c r="W48" i="108"/>
  <c r="W43" i="108" s="1"/>
  <c r="H2" i="101"/>
  <c r="H6" i="101"/>
  <c r="K6" i="101"/>
  <c r="K2" i="101"/>
  <c r="BB49" i="101"/>
  <c r="H6" i="99"/>
  <c r="H2" i="99"/>
  <c r="F62" i="94"/>
  <c r="AV1" i="94"/>
  <c r="H4" i="94"/>
  <c r="H62" i="94" s="1"/>
  <c r="L65" i="84"/>
  <c r="M61" i="84"/>
  <c r="AX49" i="99"/>
  <c r="AX42" i="99" s="1"/>
  <c r="BA49" i="99"/>
  <c r="AV42" i="99"/>
  <c r="BJ18" i="99"/>
  <c r="BC18" i="99"/>
  <c r="BE18" i="99" s="1"/>
  <c r="I20" i="41"/>
  <c r="T45" i="108" s="1"/>
  <c r="H32" i="109"/>
  <c r="W27" i="108"/>
  <c r="AC28" i="108"/>
  <c r="AC27" i="108" s="1"/>
  <c r="H80" i="59"/>
  <c r="BJ25" i="99"/>
  <c r="BC59" i="99"/>
  <c r="BE59" i="99" s="1"/>
  <c r="I21" i="109"/>
  <c r="L21" i="109" s="1"/>
  <c r="H22" i="109"/>
  <c r="K22" i="109" s="1"/>
  <c r="N23" i="99"/>
  <c r="E23" i="99"/>
  <c r="BJ23" i="99" s="1"/>
  <c r="F64" i="99"/>
  <c r="H64" i="99" s="1"/>
  <c r="K9" i="99"/>
  <c r="I6" i="99"/>
  <c r="I64" i="99" s="1"/>
  <c r="B17" i="109"/>
  <c r="N30" i="88"/>
  <c r="BC5" i="88"/>
  <c r="H31" i="109"/>
  <c r="I30" i="109"/>
  <c r="L30" i="109" s="1"/>
  <c r="I28" i="109"/>
  <c r="L28" i="109" s="1"/>
  <c r="F44" i="77"/>
  <c r="F50" i="77" s="1"/>
  <c r="D50" i="77"/>
  <c r="D6" i="77" s="1"/>
  <c r="D14" i="77" s="1"/>
  <c r="D40" i="77" s="1"/>
  <c r="E9" i="99"/>
  <c r="BC9" i="99" s="1"/>
  <c r="BE9" i="99" s="1"/>
  <c r="H25" i="109"/>
  <c r="K25" i="109" s="1"/>
  <c r="I31" i="109"/>
  <c r="L31" i="109" s="1"/>
  <c r="BE10" i="99"/>
  <c r="M16" i="76"/>
  <c r="H16" i="76"/>
  <c r="AY8" i="99"/>
  <c r="H21" i="109"/>
  <c r="H30" i="109"/>
  <c r="K30" i="109" s="1"/>
  <c r="G69" i="59"/>
  <c r="I24" i="41"/>
  <c r="T50" i="108" s="1"/>
  <c r="AF50" i="108" s="1"/>
  <c r="AG50" i="108" s="1"/>
  <c r="U6" i="108"/>
  <c r="U53" i="108" s="1"/>
  <c r="W15" i="108"/>
  <c r="W6" i="108" s="1"/>
  <c r="Y16" i="108"/>
  <c r="BD51" i="101"/>
  <c r="BE51" i="101" s="1"/>
  <c r="K37" i="109"/>
  <c r="D65" i="84"/>
  <c r="E13" i="84"/>
  <c r="E15" i="85"/>
  <c r="AW13" i="94"/>
  <c r="AZ13" i="94" s="1"/>
  <c r="R4" i="94"/>
  <c r="AW4" i="94" s="1"/>
  <c r="D57" i="83"/>
  <c r="E13" i="83" s="1"/>
  <c r="BF49" i="101"/>
  <c r="F31" i="77"/>
  <c r="D18" i="59"/>
  <c r="U52" i="89"/>
  <c r="V52" i="89" s="1"/>
  <c r="F16" i="77"/>
  <c r="F51" i="89"/>
  <c r="F51" i="84"/>
  <c r="T51" i="84" s="1"/>
  <c r="G16" i="77"/>
  <c r="H16" i="77" s="1"/>
  <c r="E9" i="59"/>
  <c r="F50" i="89"/>
  <c r="F50" i="84"/>
  <c r="T50" i="84" s="1"/>
  <c r="K14" i="76"/>
  <c r="N14" i="76" s="1"/>
  <c r="D16" i="59"/>
  <c r="U26" i="89"/>
  <c r="BC20" i="101"/>
  <c r="F23" i="77"/>
  <c r="E23" i="77" s="1"/>
  <c r="I23" i="77" s="1"/>
  <c r="F60" i="84"/>
  <c r="T60" i="84" s="1"/>
  <c r="H24" i="41"/>
  <c r="H16" i="109"/>
  <c r="K16" i="109" s="1"/>
  <c r="J20" i="105"/>
  <c r="J5" i="104"/>
  <c r="H14" i="109"/>
  <c r="K14" i="109" s="1"/>
  <c r="E76" i="104"/>
  <c r="K39" i="41"/>
  <c r="E75" i="59"/>
  <c r="E15" i="61" s="1"/>
  <c r="BE13" i="99"/>
  <c r="F77" i="59"/>
  <c r="G77" i="59" s="1"/>
  <c r="I49" i="109"/>
  <c r="L49" i="109" s="1"/>
  <c r="F26" i="84"/>
  <c r="F17" i="77"/>
  <c r="E17" i="101"/>
  <c r="N17" i="101"/>
  <c r="L15" i="101"/>
  <c r="L6" i="101" s="1"/>
  <c r="L64" i="101" s="1"/>
  <c r="N17" i="99"/>
  <c r="L15" i="99"/>
  <c r="L6" i="99" s="1"/>
  <c r="L64" i="99" s="1"/>
  <c r="E17" i="99"/>
  <c r="F26" i="89"/>
  <c r="AA62" i="94"/>
  <c r="BF57" i="99"/>
  <c r="E47" i="99"/>
  <c r="E42" i="99" s="1"/>
  <c r="E64" i="99" s="1"/>
  <c r="N22" i="101"/>
  <c r="E22" i="101"/>
  <c r="BK22" i="101" s="1"/>
  <c r="BA15" i="101"/>
  <c r="AV6" i="101"/>
  <c r="L57" i="101"/>
  <c r="N57" i="101" s="1"/>
  <c r="N58" i="101"/>
  <c r="E58" i="101"/>
  <c r="E57" i="101" s="1"/>
  <c r="AV6" i="99"/>
  <c r="BA15" i="99"/>
  <c r="AW42" i="101"/>
  <c r="AV13" i="94"/>
  <c r="BF60" i="101"/>
  <c r="AW42" i="99"/>
  <c r="AE42" i="101"/>
  <c r="H78" i="59"/>
  <c r="G78" i="59"/>
  <c r="V42" i="101"/>
  <c r="W26" i="99"/>
  <c r="B113" i="103"/>
  <c r="N4" i="108"/>
  <c r="BC56" i="101"/>
  <c r="BE56" i="101" s="1"/>
  <c r="T13" i="94"/>
  <c r="T4" i="94" s="1"/>
  <c r="AE6" i="101"/>
  <c r="D11" i="59"/>
  <c r="F56" i="89"/>
  <c r="F19" i="77"/>
  <c r="E19" i="77" s="1"/>
  <c r="I19" i="77" s="1"/>
  <c r="AX58" i="94"/>
  <c r="AY58" i="94" s="1"/>
  <c r="V26" i="99"/>
  <c r="BC26" i="99" s="1"/>
  <c r="AF26" i="99"/>
  <c r="AX13" i="94"/>
  <c r="I12" i="41"/>
  <c r="L12" i="41" s="1"/>
  <c r="AF6" i="99"/>
  <c r="AC40" i="94"/>
  <c r="J10" i="103"/>
  <c r="F54" i="89"/>
  <c r="BB52" i="99"/>
  <c r="BD52" i="99" s="1"/>
  <c r="N6" i="108"/>
  <c r="N53" i="108" s="1"/>
  <c r="C77" i="59"/>
  <c r="C75" i="59" s="1"/>
  <c r="C15" i="61" s="1"/>
  <c r="C7" i="61" s="1"/>
  <c r="C38" i="77"/>
  <c r="AE10" i="108"/>
  <c r="S6" i="108"/>
  <c r="AF42" i="99"/>
  <c r="BC25" i="99"/>
  <c r="BE25" i="99" s="1"/>
  <c r="D12" i="59"/>
  <c r="F21" i="77"/>
  <c r="F58" i="89"/>
  <c r="F25" i="77"/>
  <c r="F54" i="84"/>
  <c r="T54" i="84" s="1"/>
  <c r="J5" i="105"/>
  <c r="E76" i="105"/>
  <c r="F56" i="84"/>
  <c r="T56" i="84" s="1"/>
  <c r="I26" i="41"/>
  <c r="AE6" i="99"/>
  <c r="AB40" i="94"/>
  <c r="AB62" i="94" s="1"/>
  <c r="BE13" i="101"/>
  <c r="AK40" i="94"/>
  <c r="BE12" i="101"/>
  <c r="T24" i="94"/>
  <c r="W57" i="99"/>
  <c r="H21" i="41"/>
  <c r="K21" i="41" s="1"/>
  <c r="B6" i="59"/>
  <c r="B15" i="61"/>
  <c r="B7" i="61" s="1"/>
  <c r="G51" i="59"/>
  <c r="G13" i="61" s="1"/>
  <c r="I16" i="109"/>
  <c r="L16" i="109" s="1"/>
  <c r="F53" i="89"/>
  <c r="I14" i="41"/>
  <c r="L14" i="41" s="1"/>
  <c r="L15" i="41"/>
  <c r="H38" i="59"/>
  <c r="H35" i="59" s="1"/>
  <c r="H11" i="61" s="1"/>
  <c r="G38" i="59"/>
  <c r="G35" i="59" s="1"/>
  <c r="G11" i="61" s="1"/>
  <c r="F35" i="59"/>
  <c r="F11" i="61" s="1"/>
  <c r="AV58" i="94"/>
  <c r="F18" i="77"/>
  <c r="E18" i="77" s="1"/>
  <c r="I18" i="77" s="1"/>
  <c r="K11" i="76"/>
  <c r="N11" i="76" s="1"/>
  <c r="AW6" i="101"/>
  <c r="BE11" i="101"/>
  <c r="AC24" i="94"/>
  <c r="AL40" i="94"/>
  <c r="BE54" i="101"/>
  <c r="BE53" i="99"/>
  <c r="AX42" i="101"/>
  <c r="BE20" i="101"/>
  <c r="BA26" i="99"/>
  <c r="AF6" i="101"/>
  <c r="BB60" i="99"/>
  <c r="BC60" i="99" s="1"/>
  <c r="BE63" i="99"/>
  <c r="H68" i="59"/>
  <c r="H63" i="59" s="1"/>
  <c r="H14" i="61" s="1"/>
  <c r="F63" i="59"/>
  <c r="F14" i="61" s="1"/>
  <c r="G68" i="59"/>
  <c r="T46" i="108"/>
  <c r="AF46" i="108" s="1"/>
  <c r="AG46" i="108" s="1"/>
  <c r="L21" i="41"/>
  <c r="BE9" i="101"/>
  <c r="L20" i="41"/>
  <c r="BD53" i="101"/>
  <c r="BC53" i="101"/>
  <c r="BD8" i="101"/>
  <c r="BE8" i="101" s="1"/>
  <c r="BF15" i="101"/>
  <c r="BB15" i="101"/>
  <c r="AY15" i="101"/>
  <c r="AY6" i="101" s="1"/>
  <c r="W15" i="101"/>
  <c r="W6" i="101" s="1"/>
  <c r="AF10" i="108"/>
  <c r="AO43" i="101"/>
  <c r="BD8" i="99"/>
  <c r="BE8" i="99" s="1"/>
  <c r="AY52" i="101"/>
  <c r="BD24" i="101"/>
  <c r="BC24" i="101"/>
  <c r="H22" i="76"/>
  <c r="M22" i="76"/>
  <c r="J21" i="76"/>
  <c r="AY24" i="94"/>
  <c r="AX24" i="94"/>
  <c r="AV24" i="94"/>
  <c r="E11" i="59"/>
  <c r="G18" i="77"/>
  <c r="H18" i="77" s="1"/>
  <c r="T53" i="89"/>
  <c r="H14" i="41"/>
  <c r="K14" i="41" s="1"/>
  <c r="G15" i="41"/>
  <c r="K15" i="41"/>
  <c r="G31" i="77"/>
  <c r="H31" i="77" s="1"/>
  <c r="T50" i="89"/>
  <c r="M25" i="76"/>
  <c r="H25" i="76"/>
  <c r="BC23" i="101"/>
  <c r="BD23" i="101"/>
  <c r="AV4" i="94"/>
  <c r="AX4" i="94"/>
  <c r="BD16" i="101"/>
  <c r="BC16" i="101"/>
  <c r="G21" i="77"/>
  <c r="H21" i="77" s="1"/>
  <c r="T56" i="89"/>
  <c r="E14" i="59"/>
  <c r="BD62" i="99"/>
  <c r="BC62" i="99"/>
  <c r="BD60" i="101"/>
  <c r="BC60" i="101"/>
  <c r="BD25" i="101"/>
  <c r="BC25" i="101"/>
  <c r="BC54" i="99"/>
  <c r="BD54" i="99"/>
  <c r="G36" i="109"/>
  <c r="M36" i="109" s="1"/>
  <c r="K36" i="109"/>
  <c r="F22" i="77"/>
  <c r="E22" i="77" s="1"/>
  <c r="I22" i="77" s="1"/>
  <c r="D15" i="59"/>
  <c r="F57" i="89"/>
  <c r="F57" i="84"/>
  <c r="T57" i="84" s="1"/>
  <c r="E15" i="59"/>
  <c r="G22" i="77"/>
  <c r="H22" i="77" s="1"/>
  <c r="T57" i="89"/>
  <c r="T60" i="89"/>
  <c r="G25" i="77"/>
  <c r="H25" i="77" s="1"/>
  <c r="E18" i="59"/>
  <c r="I25" i="41"/>
  <c r="I26" i="109"/>
  <c r="L26" i="109" s="1"/>
  <c r="M20" i="76"/>
  <c r="K20" i="76"/>
  <c r="N20" i="76" s="1"/>
  <c r="AX15" i="99"/>
  <c r="AX6" i="99" s="1"/>
  <c r="AW6" i="99"/>
  <c r="AZ8" i="99"/>
  <c r="AZ52" i="99"/>
  <c r="AN42" i="99"/>
  <c r="AO26" i="101"/>
  <c r="F55" i="84"/>
  <c r="T55" i="84" s="1"/>
  <c r="F55" i="89"/>
  <c r="F20" i="77"/>
  <c r="E20" i="77" s="1"/>
  <c r="I20" i="77" s="1"/>
  <c r="D13" i="59"/>
  <c r="K31" i="41"/>
  <c r="BD23" i="99"/>
  <c r="BC23" i="99"/>
  <c r="BD58" i="99"/>
  <c r="BC58" i="99"/>
  <c r="BF26" i="101"/>
  <c r="BC26" i="101"/>
  <c r="AY26" i="101"/>
  <c r="AZ26" i="101" s="1"/>
  <c r="BB26" i="101"/>
  <c r="BF57" i="101"/>
  <c r="BB57" i="101"/>
  <c r="AY57" i="101"/>
  <c r="AZ57" i="101" s="1"/>
  <c r="AY15" i="99"/>
  <c r="W15" i="99"/>
  <c r="W6" i="99" s="1"/>
  <c r="BB15" i="99"/>
  <c r="BB43" i="99"/>
  <c r="W43" i="99"/>
  <c r="BC43" i="99"/>
  <c r="AY43" i="99"/>
  <c r="AZ43" i="99" s="1"/>
  <c r="G10" i="109"/>
  <c r="M10" i="109" s="1"/>
  <c r="K10" i="109"/>
  <c r="T59" i="89"/>
  <c r="G24" i="77"/>
  <c r="H24" i="77" s="1"/>
  <c r="E17" i="59"/>
  <c r="AO15" i="99"/>
  <c r="AO6" i="99" s="1"/>
  <c r="AN6" i="99"/>
  <c r="BD21" i="101"/>
  <c r="BC21" i="101"/>
  <c r="AO15" i="101"/>
  <c r="AO6" i="101" s="1"/>
  <c r="AZ53" i="101"/>
  <c r="AN52" i="101"/>
  <c r="AO53" i="101"/>
  <c r="AO52" i="101" s="1"/>
  <c r="AO42" i="101" s="1"/>
  <c r="E12" i="59"/>
  <c r="T54" i="89"/>
  <c r="G19" i="77"/>
  <c r="H19" i="77" s="1"/>
  <c r="AX50" i="94"/>
  <c r="AY50" i="94" s="1"/>
  <c r="AV50" i="94"/>
  <c r="S40" i="94"/>
  <c r="AZ8" i="101"/>
  <c r="F59" i="84"/>
  <c r="T59" i="84" s="1"/>
  <c r="F24" i="77"/>
  <c r="E24" i="77" s="1"/>
  <c r="I24" i="77" s="1"/>
  <c r="F59" i="89"/>
  <c r="D17" i="59"/>
  <c r="H50" i="109"/>
  <c r="H13" i="41"/>
  <c r="J19" i="76"/>
  <c r="K5" i="103"/>
  <c r="J5" i="103" s="1"/>
  <c r="J6" i="103"/>
  <c r="BD20" i="99"/>
  <c r="BC20" i="99"/>
  <c r="D27" i="98"/>
  <c r="M2" i="98"/>
  <c r="M4" i="98" s="1"/>
  <c r="AO52" i="99"/>
  <c r="AO42" i="99" s="1"/>
  <c r="BF53" i="101"/>
  <c r="K20" i="41"/>
  <c r="G20" i="41"/>
  <c r="BE59" i="101"/>
  <c r="BD56" i="99"/>
  <c r="BC56" i="99"/>
  <c r="G17" i="77"/>
  <c r="BD58" i="101"/>
  <c r="BE62" i="101"/>
  <c r="AE42" i="99"/>
  <c r="AY60" i="99"/>
  <c r="AZ60" i="99" s="1"/>
  <c r="BD46" i="99"/>
  <c r="BC46" i="99"/>
  <c r="V6" i="101"/>
  <c r="BC24" i="99"/>
  <c r="BD24" i="99"/>
  <c r="BD22" i="99"/>
  <c r="BC22" i="99"/>
  <c r="W43" i="101"/>
  <c r="BF43" i="101"/>
  <c r="BC43" i="101"/>
  <c r="AY43" i="101"/>
  <c r="AZ43" i="101" s="1"/>
  <c r="BB43" i="101"/>
  <c r="I35" i="109"/>
  <c r="L35" i="109" s="1"/>
  <c r="I30" i="41"/>
  <c r="M23" i="76"/>
  <c r="H23" i="76"/>
  <c r="H8" i="98"/>
  <c r="F13" i="98"/>
  <c r="F27" i="98" s="1"/>
  <c r="BC21" i="99"/>
  <c r="BD21" i="99"/>
  <c r="BD19" i="101"/>
  <c r="BC19" i="101"/>
  <c r="T55" i="89"/>
  <c r="U55" i="89" s="1"/>
  <c r="V55" i="89" s="1"/>
  <c r="G20" i="77"/>
  <c r="H20" i="77" s="1"/>
  <c r="E13" i="59"/>
  <c r="AW55" i="94"/>
  <c r="AX55" i="94"/>
  <c r="AY55" i="94" s="1"/>
  <c r="BD19" i="99"/>
  <c r="BC19" i="99"/>
  <c r="T17" i="108"/>
  <c r="AY57" i="99"/>
  <c r="AZ57" i="99" s="1"/>
  <c r="BB57" i="99"/>
  <c r="BD16" i="99"/>
  <c r="BC16" i="99"/>
  <c r="V42" i="99"/>
  <c r="E29" i="77"/>
  <c r="I29" i="77" s="1"/>
  <c r="G23" i="77"/>
  <c r="H23" i="77" s="1"/>
  <c r="T58" i="89"/>
  <c r="E16" i="59"/>
  <c r="F76" i="59"/>
  <c r="D75" i="59"/>
  <c r="C51" i="109"/>
  <c r="E17" i="109"/>
  <c r="F45" i="109"/>
  <c r="B51" i="109"/>
  <c r="I19" i="41" l="1"/>
  <c r="L19" i="41" s="1"/>
  <c r="W53" i="108"/>
  <c r="L15" i="76"/>
  <c r="O15" i="76"/>
  <c r="I15" i="76"/>
  <c r="N15" i="99"/>
  <c r="BD5" i="88"/>
  <c r="AA41" i="108"/>
  <c r="Y40" i="108"/>
  <c r="BC52" i="99"/>
  <c r="E27" i="77"/>
  <c r="I27" i="77" s="1"/>
  <c r="G10" i="59"/>
  <c r="U60" i="89"/>
  <c r="V60" i="89" s="1"/>
  <c r="U51" i="89"/>
  <c r="V51" i="89" s="1"/>
  <c r="F14" i="59"/>
  <c r="G21" i="109"/>
  <c r="M21" i="109" s="1"/>
  <c r="G15" i="109"/>
  <c r="M15" i="109" s="1"/>
  <c r="L24" i="41"/>
  <c r="M4" i="103"/>
  <c r="I11" i="109"/>
  <c r="L11" i="109" s="1"/>
  <c r="K18" i="76"/>
  <c r="N18" i="76" s="1"/>
  <c r="I20" i="109"/>
  <c r="L20" i="109" s="1"/>
  <c r="G25" i="109"/>
  <c r="M25" i="109" s="1"/>
  <c r="BD15" i="101"/>
  <c r="BC58" i="101"/>
  <c r="AY6" i="99"/>
  <c r="H11" i="109"/>
  <c r="K11" i="109" s="1"/>
  <c r="P27" i="77"/>
  <c r="I11" i="41"/>
  <c r="T28" i="108" s="1"/>
  <c r="I23" i="109"/>
  <c r="L23" i="109" s="1"/>
  <c r="K9" i="76"/>
  <c r="N9" i="76" s="1"/>
  <c r="I22" i="41"/>
  <c r="L22" i="41" s="1"/>
  <c r="H23" i="41"/>
  <c r="K11" i="82" s="1"/>
  <c r="H27" i="77"/>
  <c r="AG10" i="108"/>
  <c r="E21" i="77"/>
  <c r="I21" i="77" s="1"/>
  <c r="K12" i="76"/>
  <c r="N12" i="76" s="1"/>
  <c r="F16" i="59"/>
  <c r="G16" i="59" s="1"/>
  <c r="G22" i="109"/>
  <c r="M22" i="109" s="1"/>
  <c r="F15" i="59"/>
  <c r="G15" i="59" s="1"/>
  <c r="G14" i="109"/>
  <c r="M14" i="109" s="1"/>
  <c r="G63" i="59"/>
  <c r="G14" i="61" s="1"/>
  <c r="I34" i="109"/>
  <c r="L34" i="109" s="1"/>
  <c r="K21" i="109"/>
  <c r="F12" i="59"/>
  <c r="G12" i="59" s="1"/>
  <c r="I23" i="41"/>
  <c r="L23" i="41" s="1"/>
  <c r="G30" i="109"/>
  <c r="M30" i="109" s="1"/>
  <c r="I24" i="109"/>
  <c r="L24" i="109" s="1"/>
  <c r="G31" i="109"/>
  <c r="M31" i="109" s="1"/>
  <c r="E17" i="77"/>
  <c r="I17" i="77" s="1"/>
  <c r="G14" i="59"/>
  <c r="H14" i="59"/>
  <c r="E8" i="59"/>
  <c r="E8" i="61" s="1"/>
  <c r="E7" i="61" s="1"/>
  <c r="D8" i="59"/>
  <c r="D8" i="61" s="1"/>
  <c r="H34" i="109"/>
  <c r="K34" i="109" s="1"/>
  <c r="I39" i="41"/>
  <c r="I31" i="41" s="1"/>
  <c r="H29" i="41"/>
  <c r="K29" i="41" s="1"/>
  <c r="I29" i="41"/>
  <c r="T41" i="108" s="1"/>
  <c r="K31" i="109"/>
  <c r="F9" i="59"/>
  <c r="G9" i="59" s="1"/>
  <c r="P16" i="77"/>
  <c r="AY42" i="101"/>
  <c r="P25" i="77"/>
  <c r="F14" i="84"/>
  <c r="E15" i="84" s="1"/>
  <c r="L16" i="76"/>
  <c r="O16" i="76"/>
  <c r="I16" i="76"/>
  <c r="F18" i="59"/>
  <c r="H18" i="59" s="1"/>
  <c r="G13" i="76"/>
  <c r="G29" i="76" s="1"/>
  <c r="F29" i="76"/>
  <c r="F14" i="83"/>
  <c r="E15" i="83" s="1"/>
  <c r="K2" i="99"/>
  <c r="K6" i="99"/>
  <c r="AZ9" i="99"/>
  <c r="K10" i="76"/>
  <c r="N10" i="76" s="1"/>
  <c r="I29" i="109"/>
  <c r="L29" i="109" s="1"/>
  <c r="AA16" i="108"/>
  <c r="Y15" i="108"/>
  <c r="Y6" i="108" s="1"/>
  <c r="BC49" i="101"/>
  <c r="BD49" i="101"/>
  <c r="BE49" i="101" s="1"/>
  <c r="BA42" i="99"/>
  <c r="BF50" i="99"/>
  <c r="BD49" i="99"/>
  <c r="BE49" i="99" s="1"/>
  <c r="D38" i="77"/>
  <c r="I38" i="77" s="1"/>
  <c r="Y48" i="108"/>
  <c r="Y43" i="108" s="1"/>
  <c r="AA49" i="108"/>
  <c r="D66" i="84"/>
  <c r="H65" i="84"/>
  <c r="BD15" i="99"/>
  <c r="BC22" i="101"/>
  <c r="BE22" i="101" s="1"/>
  <c r="F16" i="85"/>
  <c r="E17" i="85" s="1"/>
  <c r="G32" i="109"/>
  <c r="M32" i="109" s="1"/>
  <c r="K32" i="109"/>
  <c r="N32" i="88"/>
  <c r="U58" i="89"/>
  <c r="V58" i="89" s="1"/>
  <c r="P23" i="77"/>
  <c r="E16" i="77"/>
  <c r="I16" i="77" s="1"/>
  <c r="T16" i="108"/>
  <c r="AF16" i="108" s="1"/>
  <c r="AG16" i="108" s="1"/>
  <c r="I27" i="109"/>
  <c r="L27" i="109" s="1"/>
  <c r="U56" i="89"/>
  <c r="V56" i="89" s="1"/>
  <c r="K24" i="41"/>
  <c r="G25" i="41"/>
  <c r="M25" i="41" s="1"/>
  <c r="G24" i="41"/>
  <c r="J24" i="41" s="1"/>
  <c r="F15" i="77"/>
  <c r="F14" i="77" s="1"/>
  <c r="AC62" i="94"/>
  <c r="F49" i="84"/>
  <c r="F61" i="84" s="1"/>
  <c r="AE64" i="101"/>
  <c r="AF64" i="101" s="1"/>
  <c r="E25" i="77"/>
  <c r="I25" i="77" s="1"/>
  <c r="AZ15" i="101"/>
  <c r="AZ6" i="101" s="1"/>
  <c r="BA6" i="99"/>
  <c r="N2" i="99"/>
  <c r="N6" i="99"/>
  <c r="N64" i="99" s="1"/>
  <c r="BC17" i="101"/>
  <c r="BE17" i="101" s="1"/>
  <c r="BK17" i="101"/>
  <c r="BK26" i="101" s="1"/>
  <c r="E15" i="101"/>
  <c r="BG57" i="101"/>
  <c r="E47" i="101"/>
  <c r="E42" i="101" s="1"/>
  <c r="E64" i="101" s="1"/>
  <c r="BA6" i="101"/>
  <c r="BA64" i="101" s="1"/>
  <c r="BG15" i="101"/>
  <c r="BJ17" i="99"/>
  <c r="BJ26" i="99" s="1"/>
  <c r="BC17" i="99"/>
  <c r="BE17" i="99" s="1"/>
  <c r="E15" i="99"/>
  <c r="N15" i="101"/>
  <c r="G16" i="109"/>
  <c r="M16" i="109" s="1"/>
  <c r="BD60" i="99"/>
  <c r="BE60" i="99" s="1"/>
  <c r="AE64" i="99"/>
  <c r="AF64" i="99" s="1"/>
  <c r="AZ15" i="99"/>
  <c r="F49" i="89"/>
  <c r="F61" i="89" s="1"/>
  <c r="F11" i="59"/>
  <c r="H11" i="59" s="1"/>
  <c r="F17" i="59"/>
  <c r="G17" i="59" s="1"/>
  <c r="BE23" i="99"/>
  <c r="AY26" i="99"/>
  <c r="AZ26" i="99" s="1"/>
  <c r="T49" i="84"/>
  <c r="T61" i="84" s="1"/>
  <c r="G21" i="41"/>
  <c r="M21" i="41" s="1"/>
  <c r="G26" i="109"/>
  <c r="M26" i="109" s="1"/>
  <c r="V64" i="99"/>
  <c r="BE21" i="99"/>
  <c r="BB26" i="99"/>
  <c r="U54" i="89"/>
  <c r="V54" i="89" s="1"/>
  <c r="H77" i="59"/>
  <c r="C6" i="59"/>
  <c r="S53" i="108"/>
  <c r="AE54" i="108" s="1"/>
  <c r="AE6" i="108"/>
  <c r="AE53" i="108" s="1"/>
  <c r="BE23" i="101"/>
  <c r="E31" i="77"/>
  <c r="I31" i="77" s="1"/>
  <c r="U57" i="89"/>
  <c r="V57" i="89" s="1"/>
  <c r="BE25" i="101"/>
  <c r="BE19" i="99"/>
  <c r="U53" i="89"/>
  <c r="V53" i="89" s="1"/>
  <c r="AY64" i="101"/>
  <c r="BB6" i="101"/>
  <c r="BG6" i="101" s="1"/>
  <c r="BE19" i="101"/>
  <c r="H20" i="76"/>
  <c r="I20" i="76" s="1"/>
  <c r="AF45" i="108"/>
  <c r="T44" i="108"/>
  <c r="BE16" i="99"/>
  <c r="BE24" i="99"/>
  <c r="BE16" i="101"/>
  <c r="T23" i="108"/>
  <c r="AF23" i="108" s="1"/>
  <c r="AG23" i="108" s="1"/>
  <c r="BD57" i="99"/>
  <c r="BC57" i="99"/>
  <c r="BC47" i="99" s="1"/>
  <c r="AF17" i="108"/>
  <c r="AG17" i="108" s="1"/>
  <c r="J8" i="98"/>
  <c r="H13" i="98"/>
  <c r="C9" i="58"/>
  <c r="BE22" i="99"/>
  <c r="BE56" i="99"/>
  <c r="T22" i="108"/>
  <c r="AF22" i="108" s="1"/>
  <c r="AG22" i="108" s="1"/>
  <c r="T21" i="108"/>
  <c r="AF21" i="108" s="1"/>
  <c r="AG21" i="108" s="1"/>
  <c r="I25" i="76"/>
  <c r="L25" i="76"/>
  <c r="O25" i="76"/>
  <c r="U50" i="89"/>
  <c r="T49" i="89"/>
  <c r="T61" i="89" s="1"/>
  <c r="H66" i="89" s="1"/>
  <c r="H67" i="89" s="1"/>
  <c r="Z63" i="89"/>
  <c r="H21" i="76"/>
  <c r="M21" i="76"/>
  <c r="BE24" i="101"/>
  <c r="H20" i="109"/>
  <c r="H19" i="41"/>
  <c r="J9" i="76"/>
  <c r="H49" i="109"/>
  <c r="H11" i="41"/>
  <c r="J18" i="76"/>
  <c r="V64" i="101"/>
  <c r="BF6" i="101"/>
  <c r="P19" i="77"/>
  <c r="BE58" i="101"/>
  <c r="M20" i="41"/>
  <c r="J20" i="41"/>
  <c r="BE20" i="99"/>
  <c r="M19" i="76"/>
  <c r="H27" i="41"/>
  <c r="H28" i="109"/>
  <c r="J11" i="76"/>
  <c r="L26" i="41"/>
  <c r="T51" i="108"/>
  <c r="AF51" i="108" s="1"/>
  <c r="AG51" i="108" s="1"/>
  <c r="J14" i="82"/>
  <c r="Q17" i="77"/>
  <c r="Q29" i="77" s="1"/>
  <c r="H23" i="109"/>
  <c r="H22" i="41"/>
  <c r="J12" i="76"/>
  <c r="AZ52" i="101"/>
  <c r="AN42" i="101"/>
  <c r="BE21" i="101"/>
  <c r="U59" i="89"/>
  <c r="V59" i="89" s="1"/>
  <c r="C10" i="58"/>
  <c r="BD57" i="101"/>
  <c r="BC57" i="101"/>
  <c r="F13" i="59"/>
  <c r="P20" i="77"/>
  <c r="I13" i="41"/>
  <c r="G13" i="41" s="1"/>
  <c r="I50" i="109"/>
  <c r="G50" i="109" s="1"/>
  <c r="M50" i="109" s="1"/>
  <c r="K19" i="76"/>
  <c r="BE62" i="99"/>
  <c r="P18" i="77"/>
  <c r="L30" i="41"/>
  <c r="T42" i="108"/>
  <c r="AF42" i="108" s="1"/>
  <c r="AG42" i="108" s="1"/>
  <c r="P21" i="77"/>
  <c r="H29" i="109"/>
  <c r="H27" i="109"/>
  <c r="H26" i="41"/>
  <c r="J10" i="76"/>
  <c r="K13" i="41"/>
  <c r="AX40" i="94"/>
  <c r="AY40" i="94" s="1"/>
  <c r="AV40" i="94"/>
  <c r="AV62" i="94" s="1"/>
  <c r="T19" i="108"/>
  <c r="AF19" i="108" s="1"/>
  <c r="AG19" i="108" s="1"/>
  <c r="T24" i="108"/>
  <c r="AF24" i="108" s="1"/>
  <c r="AG24" i="108" s="1"/>
  <c r="H24" i="109"/>
  <c r="K24" i="109" s="1"/>
  <c r="S62" i="94"/>
  <c r="T11" i="108"/>
  <c r="O22" i="76"/>
  <c r="L22" i="76"/>
  <c r="I22" i="76"/>
  <c r="BB52" i="101"/>
  <c r="F68" i="84"/>
  <c r="F70" i="89"/>
  <c r="D15" i="61"/>
  <c r="G76" i="59"/>
  <c r="G75" i="59" s="1"/>
  <c r="F75" i="59"/>
  <c r="H76" i="59"/>
  <c r="AY42" i="99"/>
  <c r="BB42" i="99"/>
  <c r="BC42" i="99" s="1"/>
  <c r="T20" i="108"/>
  <c r="AF20" i="108" s="1"/>
  <c r="AG20" i="108" s="1"/>
  <c r="O23" i="76"/>
  <c r="I23" i="76"/>
  <c r="L23" i="76"/>
  <c r="BE46" i="99"/>
  <c r="H30" i="41"/>
  <c r="H35" i="109"/>
  <c r="G15" i="77"/>
  <c r="H17" i="77"/>
  <c r="K50" i="109"/>
  <c r="P24" i="77"/>
  <c r="BE58" i="99"/>
  <c r="L25" i="41"/>
  <c r="T49" i="108"/>
  <c r="T25" i="108"/>
  <c r="AF25" i="108" s="1"/>
  <c r="AG25" i="108" s="1"/>
  <c r="P22" i="77"/>
  <c r="BE54" i="99"/>
  <c r="BE60" i="101"/>
  <c r="BE52" i="99"/>
  <c r="AZ4" i="94"/>
  <c r="AY4" i="94"/>
  <c r="J15" i="41"/>
  <c r="M15" i="41"/>
  <c r="G14" i="41"/>
  <c r="T18" i="108"/>
  <c r="AF18" i="108" s="1"/>
  <c r="AG18" i="108" s="1"/>
  <c r="H48" i="109"/>
  <c r="H12" i="41"/>
  <c r="J14" i="76"/>
  <c r="BF52" i="101"/>
  <c r="BB6" i="99"/>
  <c r="L11" i="41"/>
  <c r="BE53" i="101"/>
  <c r="E51" i="109"/>
  <c r="F17" i="109"/>
  <c r="H16" i="59" l="1"/>
  <c r="AC41" i="108"/>
  <c r="AC40" i="108" s="1"/>
  <c r="AA40" i="108"/>
  <c r="AA46" i="89"/>
  <c r="I33" i="109"/>
  <c r="L33" i="109" s="1"/>
  <c r="G11" i="109"/>
  <c r="M11" i="109" s="1"/>
  <c r="G23" i="41"/>
  <c r="J23" i="41" s="1"/>
  <c r="H12" i="59"/>
  <c r="K23" i="41"/>
  <c r="H9" i="59"/>
  <c r="AZ6" i="99"/>
  <c r="I18" i="41"/>
  <c r="L18" i="41" s="1"/>
  <c r="J10" i="82"/>
  <c r="H15" i="59"/>
  <c r="L29" i="41"/>
  <c r="T47" i="108"/>
  <c r="AF47" i="108" s="1"/>
  <c r="AG47" i="108" s="1"/>
  <c r="I28" i="41"/>
  <c r="L28" i="41" s="1"/>
  <c r="J11" i="82"/>
  <c r="L11" i="82" s="1"/>
  <c r="M11" i="82" s="1"/>
  <c r="H9" i="41"/>
  <c r="K8" i="76"/>
  <c r="N8" i="76" s="1"/>
  <c r="H19" i="109"/>
  <c r="BA64" i="99"/>
  <c r="H17" i="59"/>
  <c r="M24" i="41"/>
  <c r="D7" i="61"/>
  <c r="G24" i="109"/>
  <c r="M24" i="109" s="1"/>
  <c r="J25" i="41"/>
  <c r="G18" i="59"/>
  <c r="D6" i="59"/>
  <c r="J8" i="59"/>
  <c r="E6" i="59"/>
  <c r="F8" i="59"/>
  <c r="F8" i="61" s="1"/>
  <c r="L39" i="41"/>
  <c r="G34" i="109"/>
  <c r="M34" i="109" s="1"/>
  <c r="J25" i="82"/>
  <c r="L25" i="82" s="1"/>
  <c r="M25" i="82" s="1"/>
  <c r="G29" i="41"/>
  <c r="J29" i="41" s="1"/>
  <c r="G39" i="41"/>
  <c r="J39" i="41" s="1"/>
  <c r="H28" i="41"/>
  <c r="K28" i="41" s="1"/>
  <c r="I19" i="109"/>
  <c r="L19" i="109" s="1"/>
  <c r="AY64" i="99"/>
  <c r="J21" i="41"/>
  <c r="Y53" i="108"/>
  <c r="AC16" i="108"/>
  <c r="AC15" i="108" s="1"/>
  <c r="AC6" i="108" s="1"/>
  <c r="AA15" i="108"/>
  <c r="AA6" i="108" s="1"/>
  <c r="AC49" i="108"/>
  <c r="AC48" i="108" s="1"/>
  <c r="AC43" i="108" s="1"/>
  <c r="AA48" i="108"/>
  <c r="AA43" i="108" s="1"/>
  <c r="E15" i="77"/>
  <c r="I15" i="77" s="1"/>
  <c r="I10" i="41"/>
  <c r="L10" i="41" s="1"/>
  <c r="G11" i="59"/>
  <c r="L20" i="76"/>
  <c r="BG3" i="99"/>
  <c r="E6" i="99"/>
  <c r="BC15" i="99"/>
  <c r="BF15" i="99"/>
  <c r="N6" i="101"/>
  <c r="N64" i="101" s="1"/>
  <c r="N2" i="101"/>
  <c r="BH3" i="101"/>
  <c r="E6" i="101"/>
  <c r="BC15" i="101"/>
  <c r="AY62" i="94"/>
  <c r="AX62" i="94"/>
  <c r="J7" i="76"/>
  <c r="M7" i="76" s="1"/>
  <c r="AZ42" i="99"/>
  <c r="AG45" i="108"/>
  <c r="AF44" i="108"/>
  <c r="AG44" i="108" s="1"/>
  <c r="J14" i="41"/>
  <c r="M14" i="41"/>
  <c r="L31" i="41"/>
  <c r="G31" i="41"/>
  <c r="BD52" i="101"/>
  <c r="BC52" i="101"/>
  <c r="F40" i="77"/>
  <c r="E40" i="77" s="1"/>
  <c r="I40" i="77" s="1"/>
  <c r="M10" i="76"/>
  <c r="H10" i="76"/>
  <c r="G29" i="109"/>
  <c r="M29" i="109" s="1"/>
  <c r="K29" i="109"/>
  <c r="K27" i="41"/>
  <c r="G27" i="41"/>
  <c r="K15" i="82"/>
  <c r="L15" i="82" s="1"/>
  <c r="M15" i="82" s="1"/>
  <c r="H18" i="76"/>
  <c r="M18" i="76"/>
  <c r="M9" i="76"/>
  <c r="H9" i="76"/>
  <c r="J8" i="76"/>
  <c r="J13" i="98"/>
  <c r="J27" i="98" s="1"/>
  <c r="L8" i="98"/>
  <c r="L13" i="98" s="1"/>
  <c r="L27" i="98" s="1"/>
  <c r="G48" i="109"/>
  <c r="M48" i="109" s="1"/>
  <c r="H47" i="109"/>
  <c r="K48" i="109"/>
  <c r="F15" i="61"/>
  <c r="H75" i="59"/>
  <c r="AF11" i="108"/>
  <c r="AG11" i="108" s="1"/>
  <c r="K26" i="41"/>
  <c r="G26" i="41"/>
  <c r="K14" i="82"/>
  <c r="L14" i="82" s="1"/>
  <c r="M14" i="82" s="1"/>
  <c r="P29" i="77"/>
  <c r="N19" i="76"/>
  <c r="K13" i="76"/>
  <c r="N13" i="76" s="1"/>
  <c r="M12" i="76"/>
  <c r="H12" i="76"/>
  <c r="K11" i="41"/>
  <c r="G11" i="41"/>
  <c r="H10" i="41"/>
  <c r="K10" i="41" s="1"/>
  <c r="K19" i="41"/>
  <c r="G19" i="41"/>
  <c r="H18" i="41"/>
  <c r="V50" i="89"/>
  <c r="U49" i="89"/>
  <c r="AF41" i="108"/>
  <c r="AG41" i="108" s="1"/>
  <c r="T40" i="108"/>
  <c r="AF40" i="108" s="1"/>
  <c r="AG40" i="108" s="1"/>
  <c r="T15" i="108"/>
  <c r="AF15" i="108" s="1"/>
  <c r="AG15" i="108" s="1"/>
  <c r="G14" i="77"/>
  <c r="H15" i="77"/>
  <c r="K7" i="76"/>
  <c r="AF28" i="108"/>
  <c r="AG28" i="108" s="1"/>
  <c r="M14" i="76"/>
  <c r="J13" i="76"/>
  <c r="H14" i="76"/>
  <c r="AF49" i="108"/>
  <c r="AG49" i="108" s="1"/>
  <c r="T48" i="108"/>
  <c r="AF48" i="108" s="1"/>
  <c r="AG48" i="108" s="1"/>
  <c r="G35" i="109"/>
  <c r="M35" i="109" s="1"/>
  <c r="K35" i="109"/>
  <c r="G15" i="61"/>
  <c r="H33" i="109"/>
  <c r="G27" i="109"/>
  <c r="M27" i="109" s="1"/>
  <c r="K27" i="109"/>
  <c r="L50" i="109"/>
  <c r="I47" i="109"/>
  <c r="G13" i="59"/>
  <c r="H13" i="59"/>
  <c r="C15" i="58"/>
  <c r="K22" i="41"/>
  <c r="G22" i="41"/>
  <c r="K10" i="82"/>
  <c r="K9" i="82" s="1"/>
  <c r="M11" i="76"/>
  <c r="H11" i="76"/>
  <c r="H19" i="76"/>
  <c r="G49" i="109"/>
  <c r="M49" i="109" s="1"/>
  <c r="K49" i="109"/>
  <c r="G20" i="109"/>
  <c r="M20" i="109" s="1"/>
  <c r="K20" i="109"/>
  <c r="L21" i="76"/>
  <c r="O21" i="76"/>
  <c r="I21" i="76"/>
  <c r="C14" i="58"/>
  <c r="BB64" i="99"/>
  <c r="BF6" i="99"/>
  <c r="K12" i="41"/>
  <c r="G12" i="41"/>
  <c r="K30" i="41"/>
  <c r="G30" i="41"/>
  <c r="J13" i="41"/>
  <c r="M13" i="41"/>
  <c r="L13" i="41"/>
  <c r="T29" i="108"/>
  <c r="AF29" i="108" s="1"/>
  <c r="BE57" i="101"/>
  <c r="AZ42" i="101"/>
  <c r="BB42" i="101"/>
  <c r="BF42" i="101"/>
  <c r="G23" i="109"/>
  <c r="M23" i="109" s="1"/>
  <c r="K23" i="109"/>
  <c r="G28" i="109"/>
  <c r="M28" i="109" s="1"/>
  <c r="K28" i="109"/>
  <c r="J3" i="98"/>
  <c r="H5" i="98"/>
  <c r="J5" i="98" s="1"/>
  <c r="K28" i="98" s="1"/>
  <c r="H27" i="98"/>
  <c r="BE57" i="99"/>
  <c r="F51" i="109"/>
  <c r="M23" i="41" l="1"/>
  <c r="AC53" i="108"/>
  <c r="M29" i="41"/>
  <c r="I17" i="41"/>
  <c r="L17" i="41" s="1"/>
  <c r="J9" i="82"/>
  <c r="H9" i="109"/>
  <c r="H8" i="109" s="1"/>
  <c r="H7" i="109" s="1"/>
  <c r="M39" i="41"/>
  <c r="F7" i="61"/>
  <c r="F6" i="59"/>
  <c r="G8" i="59"/>
  <c r="G8" i="61" s="1"/>
  <c r="G7" i="61" s="1"/>
  <c r="H8" i="59"/>
  <c r="H8" i="61" s="1"/>
  <c r="I18" i="109"/>
  <c r="I17" i="109" s="1"/>
  <c r="T43" i="108"/>
  <c r="AF43" i="108" s="1"/>
  <c r="AA53" i="108"/>
  <c r="BC6" i="99"/>
  <c r="BC64" i="99" s="1"/>
  <c r="BE15" i="99"/>
  <c r="BC6" i="101"/>
  <c r="BE15" i="101"/>
  <c r="BG4" i="99"/>
  <c r="E2" i="99"/>
  <c r="BH4" i="101"/>
  <c r="E2" i="101"/>
  <c r="H8" i="41"/>
  <c r="I11" i="76"/>
  <c r="L11" i="76"/>
  <c r="C13" i="58"/>
  <c r="E15" i="58" s="1"/>
  <c r="C8" i="58"/>
  <c r="E10" i="58" s="1"/>
  <c r="E11" i="58" s="1"/>
  <c r="M13" i="76"/>
  <c r="H13" i="76"/>
  <c r="N7" i="76"/>
  <c r="K29" i="76"/>
  <c r="N29" i="76" s="1"/>
  <c r="M19" i="41"/>
  <c r="J19" i="41"/>
  <c r="M26" i="41"/>
  <c r="J26" i="41"/>
  <c r="J31" i="41"/>
  <c r="M31" i="41"/>
  <c r="BC42" i="101"/>
  <c r="BB64" i="101"/>
  <c r="J30" i="41"/>
  <c r="M30" i="41"/>
  <c r="L47" i="109"/>
  <c r="I46" i="109"/>
  <c r="G33" i="109"/>
  <c r="M33" i="109" s="1"/>
  <c r="K33" i="109"/>
  <c r="G40" i="77"/>
  <c r="H40" i="77" s="1"/>
  <c r="H14" i="77"/>
  <c r="U67" i="89"/>
  <c r="U61" i="89"/>
  <c r="U62" i="89"/>
  <c r="N62" i="89"/>
  <c r="G28" i="41"/>
  <c r="H15" i="61"/>
  <c r="G47" i="109"/>
  <c r="M47" i="109" s="1"/>
  <c r="H46" i="109"/>
  <c r="K47" i="109"/>
  <c r="M8" i="76"/>
  <c r="H8" i="76"/>
  <c r="L18" i="76"/>
  <c r="I18" i="76"/>
  <c r="I10" i="76"/>
  <c r="L10" i="76"/>
  <c r="O10" i="76"/>
  <c r="BC47" i="101"/>
  <c r="BE52" i="101"/>
  <c r="J29" i="76"/>
  <c r="M29" i="76" s="1"/>
  <c r="K9" i="41"/>
  <c r="T27" i="108"/>
  <c r="AF27" i="108" s="1"/>
  <c r="AG27" i="108" s="1"/>
  <c r="V61" i="89"/>
  <c r="V49" i="89"/>
  <c r="L12" i="76"/>
  <c r="I12" i="76"/>
  <c r="T6" i="108"/>
  <c r="AF6" i="108" s="1"/>
  <c r="AG6" i="108" s="1"/>
  <c r="I9" i="76"/>
  <c r="L9" i="76"/>
  <c r="O9" i="76"/>
  <c r="L10" i="82"/>
  <c r="M12" i="41"/>
  <c r="J12" i="41"/>
  <c r="G19" i="109"/>
  <c r="M19" i="109" s="1"/>
  <c r="H18" i="109"/>
  <c r="K19" i="109"/>
  <c r="I19" i="76"/>
  <c r="L19" i="76"/>
  <c r="J22" i="41"/>
  <c r="M22" i="41"/>
  <c r="I14" i="76"/>
  <c r="L14" i="76"/>
  <c r="O14" i="76"/>
  <c r="I9" i="41"/>
  <c r="G9" i="41" s="1"/>
  <c r="I9" i="109"/>
  <c r="H17" i="41"/>
  <c r="K18" i="41"/>
  <c r="G18" i="41"/>
  <c r="M11" i="41"/>
  <c r="J11" i="41"/>
  <c r="G10" i="41"/>
  <c r="J27" i="41"/>
  <c r="M27" i="41"/>
  <c r="E14" i="77"/>
  <c r="I14" i="77" s="1"/>
  <c r="H7" i="76"/>
  <c r="I16" i="41" l="1"/>
  <c r="L16" i="41" s="1"/>
  <c r="K9" i="109"/>
  <c r="K8" i="109" s="1"/>
  <c r="K7" i="109" s="1"/>
  <c r="H7" i="61"/>
  <c r="H6" i="59"/>
  <c r="G6" i="59"/>
  <c r="L18" i="109"/>
  <c r="BC64" i="101"/>
  <c r="L9" i="109"/>
  <c r="L8" i="109" s="1"/>
  <c r="L7" i="109" s="1"/>
  <c r="I8" i="109"/>
  <c r="I7" i="109" s="1"/>
  <c r="E16" i="58"/>
  <c r="J9" i="41"/>
  <c r="M9" i="41"/>
  <c r="G8" i="41"/>
  <c r="M10" i="41"/>
  <c r="J10" i="41"/>
  <c r="AF53" i="108"/>
  <c r="AG43" i="108"/>
  <c r="AG53" i="108" s="1"/>
  <c r="I45" i="109"/>
  <c r="L45" i="109" s="1"/>
  <c r="L46" i="109"/>
  <c r="H16" i="41"/>
  <c r="K17" i="41"/>
  <c r="G18" i="109"/>
  <c r="M18" i="109" s="1"/>
  <c r="H17" i="109"/>
  <c r="K18" i="109"/>
  <c r="H7" i="41"/>
  <c r="K7" i="41" s="1"/>
  <c r="K8" i="41"/>
  <c r="K8" i="82"/>
  <c r="T53" i="108"/>
  <c r="AF54" i="108" s="1"/>
  <c r="G46" i="109"/>
  <c r="M46" i="109" s="1"/>
  <c r="H45" i="109"/>
  <c r="K46" i="109"/>
  <c r="G9" i="109"/>
  <c r="I8" i="76"/>
  <c r="L8" i="76"/>
  <c r="O8" i="76"/>
  <c r="L17" i="109"/>
  <c r="I13" i="76"/>
  <c r="L13" i="76"/>
  <c r="O13" i="76"/>
  <c r="O7" i="76"/>
  <c r="L7" i="76"/>
  <c r="H29" i="76"/>
  <c r="L29" i="76" s="1"/>
  <c r="I7" i="76"/>
  <c r="J18" i="41"/>
  <c r="M18" i="41"/>
  <c r="G17" i="41"/>
  <c r="I8" i="41"/>
  <c r="N63" i="89" s="1"/>
  <c r="L9" i="41"/>
  <c r="L9" i="82"/>
  <c r="M10" i="82"/>
  <c r="M9" i="82" s="1"/>
  <c r="J28" i="41"/>
  <c r="M28" i="41"/>
  <c r="I51" i="109" l="1"/>
  <c r="L51" i="109" s="1"/>
  <c r="M9" i="109"/>
  <c r="M8" i="109" s="1"/>
  <c r="M7" i="109" s="1"/>
  <c r="G8" i="109"/>
  <c r="G7" i="109" s="1"/>
  <c r="U65" i="89"/>
  <c r="U63" i="89"/>
  <c r="M8" i="41"/>
  <c r="G7" i="41"/>
  <c r="J8" i="41"/>
  <c r="H41" i="41"/>
  <c r="K41" i="41" s="1"/>
  <c r="K16" i="41"/>
  <c r="J17" i="41"/>
  <c r="M17" i="41"/>
  <c r="G16" i="41"/>
  <c r="G45" i="109"/>
  <c r="M45" i="109" s="1"/>
  <c r="K45" i="109"/>
  <c r="L8" i="41"/>
  <c r="I7" i="41"/>
  <c r="J8" i="82"/>
  <c r="M63" i="89"/>
  <c r="I29" i="76"/>
  <c r="N16" i="83"/>
  <c r="N16" i="84"/>
  <c r="K29" i="82"/>
  <c r="N18" i="85"/>
  <c r="N16" i="89"/>
  <c r="H51" i="109"/>
  <c r="K51" i="109" s="1"/>
  <c r="G17" i="109"/>
  <c r="K17" i="109"/>
  <c r="J7" i="41" l="1"/>
  <c r="M7" i="41"/>
  <c r="N7" i="41" s="1"/>
  <c r="N15" i="83"/>
  <c r="N18" i="83" s="1"/>
  <c r="N15" i="84"/>
  <c r="N18" i="84" s="1"/>
  <c r="J29" i="82"/>
  <c r="L8" i="82"/>
  <c r="N17" i="85"/>
  <c r="N20" i="85" s="1"/>
  <c r="N15" i="89"/>
  <c r="N18" i="89" s="1"/>
  <c r="G51" i="109"/>
  <c r="M17" i="109"/>
  <c r="L7" i="41"/>
  <c r="I41" i="41"/>
  <c r="L41" i="41" s="1"/>
  <c r="J16" i="41"/>
  <c r="M16" i="41"/>
  <c r="G41" i="41"/>
  <c r="L29" i="82" l="1"/>
  <c r="M8" i="82"/>
  <c r="M29" i="82" s="1"/>
  <c r="J41" i="41"/>
  <c r="M41" i="41"/>
  <c r="J51" i="109"/>
  <c r="M51" i="109"/>
  <c r="T40" i="94"/>
  <c r="T42" i="94"/>
  <c r="W64" i="99"/>
  <c r="U64" i="99"/>
  <c r="U42" i="99"/>
  <c r="T62" i="94"/>
  <c r="R62" i="94"/>
  <c r="R40" i="94"/>
  <c r="R42" i="94"/>
  <c r="AW42" i="94"/>
  <c r="AW40" i="94"/>
  <c r="AW62" i="94"/>
  <c r="U42" i="101"/>
  <c r="U64" i="101"/>
  <c r="W64" i="101"/>
  <c r="BA44" i="101"/>
  <c r="W42" i="99"/>
  <c r="W44" i="99"/>
  <c r="U44" i="101"/>
  <c r="W44" i="101"/>
  <c r="W42" i="101"/>
  <c r="U44" i="99"/>
  <c r="BA44" i="9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วรัตติกาล พันหนองหว้า</author>
  </authors>
  <commentList>
    <comment ref="B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หลังหัก 25 %
ได้รับจัดสรรเพิ่มค่า  MA จำนวน 2 ล้านบาท
และได้รับจัดสรรเพิ่มอีก 6 แสนบาท</t>
        </r>
      </text>
    </comment>
    <comment ref="C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หลังหัก 25 %
ได้รับจัดสรรเพิ่มค่า  MA จำนวน 2 ล้านบาท
และได้รับจัดสรรเพิ่มอีก 6 แสนบาท</t>
        </r>
      </text>
    </comment>
    <comment ref="D7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สถาบันโคนมปรับลด 2 ตย.
2*4/5*1830 = 2928 ปรับลด 18 ก.พ. 64
เดิม (10,725,246-2928) = 10,722,318
</t>
        </r>
      </text>
    </comment>
    <comment ref="D1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เพิ่มถั่งเหลืองรุ่น 1 จำนวน 15,555 บาท สปร.คืนสำรวจข้าว GAP 160,000 บาท โดยไปรวมกับยอดที่โอนคือ 301,950 ลดกล้วยไม้ 119 ตย. = 119/4*1830=54,443</t>
        </r>
      </text>
    </comment>
    <comment ref="D1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เขต 10 ปรับลด 156 ตย.
156/4*2320
หักให้ สกก 74240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วรัตติกาล พันหนองหว้า</author>
  </authors>
  <commentList>
    <comment ref="D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ใส่ยอดโอนรวม</t>
        </r>
      </text>
    </comment>
    <comment ref="D1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รับคืนจาก สพร
เอายอดขอใช้ q3</t>
        </r>
      </text>
    </comment>
    <comment ref="D17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รับโอน 2 ยอด หักโอน
ตัดยอดให้ ฝบท</t>
        </r>
      </text>
    </comment>
    <comment ref="D18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งบดำเนินงาน เชิงลึก รับคืนจาก สพก</t>
        </r>
      </text>
    </comment>
    <comment ref="D19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งบดำเนินงาน ตันทุน</t>
        </r>
      </text>
    </comment>
    <comment ref="D22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งบดำเนินงาน socio รับจากเขต 10</t>
        </r>
      </text>
    </comment>
    <comment ref="D23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งบดำเนินงาน
ต้นทุน (หัก ข้าว Gap แล้ว)</t>
        </r>
      </text>
    </comment>
    <comment ref="D24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ดำเนินงาน+อบรม-คืนเชิงลึกให้ สพส</t>
        </r>
      </text>
    </comment>
    <comment ref="D25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งบดำเนินงาน</t>
        </r>
      </text>
    </comment>
    <comment ref="E27" authorId="0" shapeId="0" xr:uid="{00000000-0006-0000-0500-00000A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รายการผูกพัน+คชจ.ส่วนกลาง+จ้างเหมาในโครงการ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วรัตติกาล พันหนองหว้า</author>
  </authors>
  <commentList>
    <comment ref="D1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ปรัลลดคืนเงินเข้าส่วนกลาง 23300</t>
        </r>
      </text>
    </comment>
    <comment ref="D1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ปรับลดคืนเงินเข้าส่วนกลาง 42370</t>
        </r>
      </text>
    </comment>
    <comment ref="D17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ปรับลดคืนเงินเข้าส่วนกลาง 32000</t>
        </r>
      </text>
    </comment>
    <comment ref="D31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บวกคืนจ้างเหมาต้นทุน/ฟ้าจ้างเหมาลาออก/เงินรองอ๊อฟ
ตัดมาจากค่าทางด่วน 12000</t>
        </r>
      </text>
    </comment>
    <comment ref="D33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คืนเงินเข้าส่วนกลาง 44885 ยังไม่รวมโอนให้ 3 จ.ใต้
สพส.เพิ่ม 135670 วันที่ 18 ก.ค.</t>
        </r>
      </text>
    </comment>
    <comment ref="D37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คืนเงิน 7500</t>
        </r>
      </text>
    </comment>
    <comment ref="D38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คืนเงิน 36100</t>
        </r>
      </text>
    </comment>
    <comment ref="D39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คืนเงิน 170963</t>
        </r>
      </text>
    </comment>
    <comment ref="D40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คืนเงิน136550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วรัตติกาล พันหนองหว้า</author>
  </authors>
  <commentList>
    <comment ref="F1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ยอดเดิม 6,517,421 (เพิ่ม ศกอ. 2822400 Socio 366000 =9705821)
ปรับยอดใหม่
9705821-366000+20310 = 9,360,131
(โอนไม้ผล 3 ชายแดนใต้ 20,310) และ หัก 366000 ออกเพราะโอนจากงบดำเนินงานไม่ได้แล้ว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วรัตติกาล พันหนองหว้า</author>
  </authors>
  <commentList>
    <comment ref="O1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ซ่อมทั่วไป ซ่อมหนัก</t>
        </r>
      </text>
    </comment>
    <comment ref="P1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ซ่อมหนัก</t>
        </r>
      </text>
    </comment>
    <comment ref="Q1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เปลี่ยนยางรถ</t>
        </r>
      </text>
    </comment>
    <comment ref="AV18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ค่าลงทะเบียนอบรม</t>
        </r>
      </text>
    </comment>
    <comment ref="Q21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ค่าวัสดุ สนง. และ ค่ากระดาษ เอ 4</t>
        </r>
      </text>
    </comment>
    <comment ref="M25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หมึกพิมผู้บริหาร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วรัตติกาล พันหนองหว้า</author>
  </authors>
  <commentList>
    <comment ref="F1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ยอดเดิม 6,517,421 (เพิ่ม ศกอ. 2822400 Socio 366000 =9705821)
ปรับยอดใหม่
9705821-366000+20310 = 9,360,131
(โอนไม้ผล 3 ชายแดนใต้ 20,310) และ หัก 366000 ออกเพราะโอนจากงบดำเนินงานไม่ได้แล้ว</t>
        </r>
      </text>
    </comment>
    <comment ref="D31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ปรัลลดคืนเงินเข้าส่วนกลาง 23300</t>
        </r>
      </text>
    </comment>
    <comment ref="D3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ปรับลดคืนเงินเข้าส่วนกลาง 42370</t>
        </r>
      </text>
    </comment>
    <comment ref="D38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ปรับลดคืนเงินเข้าส่วนกลาง 32000</t>
        </r>
      </text>
    </comment>
    <comment ref="U39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แผน = คงเหลือ +เบิก ก.ค. +เห็นชอบ </t>
        </r>
      </text>
    </comment>
    <comment ref="K40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ซ่อมห้องพัสดุ และ โอนเปลี่ยนแปลงปรับปรุงห้องประชุม
35,000+402,709</t>
        </r>
      </text>
    </comment>
    <comment ref="D51" authorId="0" shapeId="0" xr:uid="{00000000-0006-0000-0900-000007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บวกคืนจ้างเหมาต้นทุน/ฟ้าจ้างเหมาลาออก/เงินรองอ๊อฟ
ตัดมาจากค่าทางด่วน 12000</t>
        </r>
      </text>
    </comment>
    <comment ref="D53" authorId="0" shapeId="0" xr:uid="{00000000-0006-0000-0900-000008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คืนเงินเข้าส่วนกลาง 44885 ยังไม่รวมโอนให้ 3 จ.ใต้
สพส.เพิ่ม 135670 วันที่ 18 ก.ค.</t>
        </r>
      </text>
    </comment>
    <comment ref="D57" authorId="0" shapeId="0" xr:uid="{00000000-0006-0000-0900-000009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คืนเงิน 7500</t>
        </r>
      </text>
    </comment>
    <comment ref="D58" authorId="0" shapeId="0" xr:uid="{00000000-0006-0000-0900-00000A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คืนเงิน 36100</t>
        </r>
      </text>
    </comment>
    <comment ref="D59" authorId="0" shapeId="0" xr:uid="{00000000-0006-0000-0900-00000B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คืนเงิน 170963</t>
        </r>
      </text>
    </comment>
    <comment ref="D60" authorId="0" shapeId="0" xr:uid="{00000000-0006-0000-0900-00000C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คืนเงิน136550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วรัตติกาล พันหนองหว้า</author>
  </authors>
  <commentList>
    <comment ref="L8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 4,200</t>
        </r>
      </text>
    </comment>
    <comment ref="C13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ระบบครัส เกียร์ เบรก 2 คัน
เปลี่ยนแบต 2 คัน
เปลี่ยนยาง 1 คัน
ถ่ายนั้นเครือง 1 คัน</t>
        </r>
      </text>
    </comment>
    <comment ref="C16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ซ่อมห้องพัสดุ</t>
        </r>
      </text>
    </comment>
    <comment ref="C21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วัสดุ สนง. 50,000
กระดาษ 200,000</t>
        </r>
      </text>
    </comment>
    <comment ref="N25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หมึกพิม 54400
กล้องเวฟแคม 15600</t>
        </r>
      </text>
    </comment>
    <comment ref="S30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ประชุม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วรัตติกาล พันหนองหว้า</author>
  </authors>
  <commentList>
    <comment ref="F1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ยอดเดิม 6,517,421 (เพิ่ม ศกอ. 2822400 Socio 366000 =9705821)
ปรับยอดใหม่
9705821-366000+20310 = 9,360,131
(โอนไม้ผล 3 ชายแดนใต้ 20,310) และ หัก 366000 ออกเพราะโอนจากงบดำเนินงานไม่ได้แล้ว</t>
        </r>
      </text>
    </comment>
    <comment ref="D31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ปรัลลดคืนเงินเข้าส่วนกลาง 23300</t>
        </r>
      </text>
    </comment>
    <comment ref="D32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ปรับลดคืนเงินเข้าส่วนกลาง 42370</t>
        </r>
      </text>
    </comment>
    <comment ref="D38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ปรับลดคืนเงินเข้าส่วนกลาง 32000</t>
        </r>
      </text>
    </comment>
    <comment ref="D51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บวกคืนจ้างเหมาต้นทุน/ฟ้าจ้างเหมาลาออก/เงินรองอ๊อฟ
ตัดมาจากค่าทางด่วน 12000</t>
        </r>
      </text>
    </comment>
    <comment ref="D53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คืนเงินเข้าส่วนกลาง 44885 ยังไม่รวมโอนให้ 3 จ.ใต้</t>
        </r>
      </text>
    </comment>
    <comment ref="D57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คืนเงิน 7500</t>
        </r>
      </text>
    </comment>
    <comment ref="D58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คืนเงิน 36100</t>
        </r>
      </text>
    </comment>
    <comment ref="D59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คืนเงิน 170963</t>
        </r>
      </text>
    </comment>
    <comment ref="D60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คืนเงิน136550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วรัตติกาล พันหนองหว้า</author>
  </authors>
  <commentList>
    <comment ref="F1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ยอดเดิม 6,517,421 (เพิ่ม ศกอ. 2822400 Socio 366000 =9705821)
ปรับยอดใหม่
9705821-366000+20310 = 9,360,131
(โอนไม้ผล 3 ชายแดนใต้ 20,310) และ หัก 366000 ออกเพราะโอนจากงบดำเนินงานไม่ได้แล้ว</t>
        </r>
      </text>
    </comment>
    <comment ref="D31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ปรัลลดคืนเงินเข้าส่วนกลาง 23300</t>
        </r>
      </text>
    </comment>
    <comment ref="D32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ปรับลดคืนเงินเข้าส่วนกลาง 42370</t>
        </r>
      </text>
    </comment>
    <comment ref="D38" authorId="0" shapeId="0" xr:uid="{00000000-0006-0000-0E00-000004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ปรับลดคืนเงินเข้าส่วนกลาง 32000</t>
        </r>
      </text>
    </comment>
    <comment ref="D51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บวกคืนจ้างเหมาต้นทุน/ฟ้าจ้างเหมาลาออก/เงินรองอ๊อฟ
ตัดมาจากค่าทางด่วน 12000</t>
        </r>
      </text>
    </comment>
    <comment ref="D53" authorId="0" shapeId="0" xr:uid="{00000000-0006-0000-0E00-000006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คืนเงินเข้าส่วนกลาง 44885 ยังไม่รวมโอนให้ 3 จ.ใต้</t>
        </r>
      </text>
    </comment>
    <comment ref="D57" authorId="0" shapeId="0" xr:uid="{00000000-0006-0000-0E00-000007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คืนเงิน 7500</t>
        </r>
      </text>
    </comment>
    <comment ref="D58" authorId="0" shapeId="0" xr:uid="{00000000-0006-0000-0E00-000008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คืนเงิน 36100</t>
        </r>
      </text>
    </comment>
    <comment ref="D59" authorId="0" shapeId="0" xr:uid="{00000000-0006-0000-0E00-000009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คืนเงิน 170963</t>
        </r>
      </text>
    </comment>
    <comment ref="D60" authorId="0" shapeId="0" xr:uid="{00000000-0006-0000-0E00-00000A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คืนเงิน136550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วรัตติกาล พันหนองหว้า</author>
  </authors>
  <commentList>
    <comment ref="D27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ลดกันเงินคืนเข้าส่วนกลาง 23300</t>
        </r>
      </text>
    </comment>
    <comment ref="D28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ลดยอดกันเงินคืนส่วนกลาง 42370</t>
        </r>
      </text>
    </comment>
    <comment ref="D34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ลดกันเงินคืนส่วนกลาง 32000</t>
        </r>
      </text>
    </comment>
    <comment ref="D49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คืนส่วนกลาง 44885 ยังไม่หักโอน 3 จ.ใต้</t>
        </r>
      </text>
    </comment>
    <comment ref="D53" authorId="0" shapeId="0" xr:uid="{00000000-0006-0000-0F00-000005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คืนเงิน7500</t>
        </r>
      </text>
    </comment>
    <comment ref="D54" authorId="0" shapeId="0" xr:uid="{00000000-0006-0000-0F00-000006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คืนเงิน36100</t>
        </r>
      </text>
    </comment>
    <comment ref="D55" authorId="0" shapeId="0" xr:uid="{00000000-0006-0000-0F00-000007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คืนเงิน170963</t>
        </r>
      </text>
    </comment>
    <comment ref="D56" authorId="0" shapeId="0" xr:uid="{00000000-0006-0000-0F00-000008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คืนเงิน136550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วรัตติกาล พันหนองหว้า</author>
  </authors>
  <commentList>
    <comment ref="B8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ได้รับ 28,188,500
หัก ผบห. 5,924,400
งบดำเนินงานหลังหักกันฯ 22,264,100
รับจัดสรรค่า MA 6,789,250
รับจัดสรรจาก รธก. วินิต 366,000
ศกอ. 4 เดือน 2,822,400
</t>
        </r>
      </text>
    </comment>
    <comment ref="C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ยอดเดิม 6,517,421 (เพิ่ม ศกอ. 2822400 Socio 366000 =9705821)
ปรับยอดใหม่
9705821-366000+20310 = 9,360,131
(โอนไม้ผล 3 ชายแดนใต้ 20,310) และ หัก 366000 ออกเพราะโอนจากงบดำเนินงานไม่ได้แล้ว</t>
        </r>
      </text>
    </comment>
    <comment ref="E8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งวด 1 = 11,132,050 งวด 2 = 5,566,000
</t>
        </r>
      </text>
    </comment>
    <comment ref="F8" authorId="0" shapeId="0" xr:uid="{00000000-0006-0000-1000-000004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รธก./ MA 9 เดือน / ศพก. 2 เดิอน</t>
        </r>
      </text>
    </comment>
    <comment ref="I8" authorId="0" shapeId="0" xr:uid="{00000000-0006-0000-1000-000005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ศกอ. ศสส. 4 เดือน /2 เดือน
(ต.ค. -มี.ค.)
ส่วนกลาง 2 เดือน (เม.ย.-พ.ค.)</t>
        </r>
      </text>
    </comment>
    <comment ref="K8" authorId="0" shapeId="0" xr:uid="{00000000-0006-0000-1000-000006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หัก p/o MA/จ้างเหมา/ค่าเช่าสาย
จ้างเหมา 3 เดือน 1,036,800
MA 3 เดือน  2,164,500
เช่าสาย 3 เดือน  1,119,969
รวม 4,321,269</t>
        </r>
      </text>
    </comment>
    <comment ref="B10" authorId="0" shapeId="0" xr:uid="{00000000-0006-0000-1000-000007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รวมโอนเปลี่ยนแปลง 34770</t>
        </r>
      </text>
    </comment>
    <comment ref="B11" authorId="0" shapeId="0" xr:uid="{00000000-0006-0000-1000-000008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รวมโอนเปลี่ยนแปลง 868230</t>
        </r>
      </text>
    </comment>
    <comment ref="B12" authorId="0" shapeId="0" xr:uid="{00000000-0006-0000-1000-000009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รวมโอนเปลี่ยนแปลง 366000</t>
        </r>
      </text>
    </comment>
    <comment ref="C13" authorId="0" shapeId="0" xr:uid="{00000000-0006-0000-1000-00000A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ปรับลด ตย. ลง</t>
        </r>
      </text>
    </comment>
    <comment ref="E13" authorId="0" shapeId="0" xr:uid="{00000000-0006-0000-1000-00000B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ปรับลด ตย. ลง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วรัตติกาล พันหนองหว้า</author>
  </authors>
  <commentList>
    <comment ref="B8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ได้รับ 28,188,500
หัก ผบห. 5,924,400
งบดำเนินงานหลังหักกันฯ 22,264,100
รับจัดสรรค่า MA 6,789,250
รับจัดสรรจาก รธก. วินิต 366,000
ศกอ. 4 เดือน 2,822,400
</t>
        </r>
      </text>
    </comment>
    <comment ref="C8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ยอดเดิม 6,517,421 (เพิ่ม ศกอ. 2822400 Socio 366000 =9705821)
ปรับยอดใหม่
9705821-366000+20310 = 9,360,131
(โอนไม้ผล 3 ชายแดนใต้ 20,310) และ หัก 366000 ออกเพราะโอนจากงบดำเนินงานไม่ได้แล้ว</t>
        </r>
      </text>
    </comment>
    <comment ref="E8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งวด 1 = 11,132,050 งวด 2 = 5,566,000
</t>
        </r>
      </text>
    </comment>
    <comment ref="F8" authorId="0" shapeId="0" xr:uid="{00000000-0006-0000-1100-000004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รธก./ MA 9 เดือน / ศพก. 2 เดิอน</t>
        </r>
      </text>
    </comment>
    <comment ref="I8" authorId="0" shapeId="0" xr:uid="{00000000-0006-0000-1100-000005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ศกอ. ศสส. 4 เดือน /2 เดือน
(ต.ค. -มี.ค.)
ส่วนกลาง 2 เดือน (เม.ย.-พ.ค.)</t>
        </r>
      </text>
    </comment>
    <comment ref="K8" authorId="0" shapeId="0" xr:uid="{00000000-0006-0000-1100-000006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หัก p/o MA/จ้างเหมา/ค่าเช่าสาย
จ้างเหมา 3 เดือน 1,036,800
MA 3 เดือน  2,164,500
เช่าสาย 3 เดือน  1,119,969
รวม 4,321,269</t>
        </r>
      </text>
    </comment>
    <comment ref="B10" authorId="0" shapeId="0" xr:uid="{00000000-0006-0000-1100-000007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รวมโอนเปลี่ยนแปลง 34770</t>
        </r>
      </text>
    </comment>
    <comment ref="B11" authorId="0" shapeId="0" xr:uid="{00000000-0006-0000-1100-000008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รวมโอนเปลี่ยนแปลง 868230</t>
        </r>
      </text>
    </comment>
    <comment ref="B12" authorId="0" shapeId="0" xr:uid="{00000000-0006-0000-1100-000009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รวมโอนเปลี่ยนแปลง 366000</t>
        </r>
      </text>
    </comment>
    <comment ref="C13" authorId="0" shapeId="0" xr:uid="{00000000-0006-0000-1100-00000A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ปรับลด ตย. ลง</t>
        </r>
      </text>
    </comment>
    <comment ref="E13" authorId="0" shapeId="0" xr:uid="{00000000-0006-0000-1100-00000B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ปรับลด ตย. ลง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ยุภาวรรณ ชินวัฒนชัย</author>
    <author>Porntip Sooksai</author>
  </authors>
  <commentList>
    <comment ref="O4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ต้อง หัก ค่าหมึกพิมพ์ผู้บริหาร ออก เนื่องจากรวมอยู่ใน ผอ.ศสส. และผู้เชี่ยวชาญด้วยแล้ว
</t>
        </r>
      </text>
    </comment>
    <comment ref="E7" authorId="0" shapeId="0" xr:uid="{00000000-0006-0000-1400-000002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ค่า รปภ. 82,000 บาท/ด = 984,000 บาท
ค่าปลวกหนู 11,000 บาท
ค่าเช่าเครื่องถ่ายเอกสาร 13,800 บาท/ด = 165,600 บาท
</t>
        </r>
      </text>
    </comment>
    <comment ref="E8" authorId="0" shapeId="0" xr:uid="{00000000-0006-0000-1400-000003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ค่าสาธารณูปโภค อาคารนวัตกรรม =223,174 บาท</t>
        </r>
      </text>
    </comment>
    <comment ref="L14" authorId="0" shapeId="0" xr:uid="{00000000-0006-0000-1400-000004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10,400 บาท</t>
        </r>
      </text>
    </comment>
    <comment ref="N14" authorId="0" shapeId="0" xr:uid="{00000000-0006-0000-1400-000005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15,000 บาท</t>
        </r>
      </text>
    </comment>
    <comment ref="P14" authorId="0" shapeId="0" xr:uid="{00000000-0006-0000-1400-000006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25,000 บาท
</t>
        </r>
      </text>
    </comment>
    <comment ref="U14" authorId="0" shapeId="0" xr:uid="{00000000-0006-0000-1400-000007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10,000 บาท</t>
        </r>
      </text>
    </comment>
    <comment ref="P16" authorId="0" shapeId="0" xr:uid="{00000000-0006-0000-1400-000008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ผอ.ให้ปรับลดยอดลง 10,000 บาท
</t>
        </r>
      </text>
    </comment>
    <comment ref="P18" authorId="0" shapeId="0" xr:uid="{00000000-0006-0000-1400-000009000000}">
      <text>
        <r>
          <rPr>
            <b/>
            <sz val="9"/>
            <color indexed="81"/>
            <rFont val="Tahoma"/>
            <family val="2"/>
          </rPr>
          <t>ยุภาวรรณ ชินวัฒนชัย:
ผอ.ปรับลดลง 10,000 บาท</t>
        </r>
      </text>
    </comment>
    <comment ref="E19" authorId="0" shapeId="0" xr:uid="{00000000-0006-0000-1400-00000A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ผอ.ปรับลดลง 200,000 บาทจาก 741,900 บาท </t>
        </r>
      </text>
    </comment>
    <comment ref="N19" authorId="0" shapeId="0" xr:uid="{00000000-0006-0000-1400-00000B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ผอ.ปรับลดลง 100,000 บาท</t>
        </r>
      </text>
    </comment>
    <comment ref="P19" authorId="0" shapeId="0" xr:uid="{00000000-0006-0000-1400-00000C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ผอ.ปรับลด 100,000 บาท</t>
        </r>
      </text>
    </comment>
    <comment ref="E21" authorId="0" shapeId="0" xr:uid="{00000000-0006-0000-1400-00000D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ผอ.ปรับลดลง 10,000 บาท</t>
        </r>
      </text>
    </comment>
    <comment ref="W21" authorId="0" shapeId="0" xr:uid="{00000000-0006-0000-1400-00000E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10,000 บาท</t>
        </r>
      </text>
    </comment>
    <comment ref="E22" authorId="0" shapeId="0" xr:uid="{00000000-0006-0000-1400-00000F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ผอ.ปรับลง 20,000 บาท
</t>
        </r>
      </text>
    </comment>
    <comment ref="N22" authorId="0" shapeId="0" xr:uid="{00000000-0006-0000-1400-000010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10,000 บาท</t>
        </r>
      </text>
    </comment>
    <comment ref="P22" authorId="0" shapeId="0" xr:uid="{00000000-0006-0000-1400-000011000000}">
      <text>
        <r>
          <rPr>
            <b/>
            <sz val="9"/>
            <color indexed="81"/>
            <rFont val="Tahoma"/>
            <family val="2"/>
          </rPr>
          <t>ยุภาวรรณ ชินวัฒนชัย:ปรับลดลง 10,000 บาท</t>
        </r>
      </text>
    </comment>
    <comment ref="E23" authorId="0" shapeId="0" xr:uid="{00000000-0006-0000-1400-000012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20000 บาท
</t>
        </r>
      </text>
    </comment>
    <comment ref="L23" authorId="0" shapeId="0" xr:uid="{00000000-0006-0000-1400-000013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10,000 บาท
</t>
        </r>
      </text>
    </comment>
    <comment ref="P23" authorId="0" shapeId="0" xr:uid="{00000000-0006-0000-1400-000014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10,000 บาท
</t>
        </r>
      </text>
    </comment>
    <comment ref="E35" authorId="1" shapeId="0" xr:uid="{00000000-0006-0000-1400-000015000000}">
      <text>
        <r>
          <rPr>
            <b/>
            <sz val="9"/>
            <color indexed="81"/>
            <rFont val="Tahoma"/>
            <family val="2"/>
          </rPr>
          <t>Porntip Sooksai:</t>
        </r>
        <r>
          <rPr>
            <sz val="9"/>
            <color indexed="81"/>
            <rFont val="Tahoma"/>
            <family val="2"/>
          </rPr>
          <t xml:space="preserve">
หักโอนให้ สศท.11 702,600</t>
        </r>
      </text>
    </comment>
    <comment ref="E42" authorId="1" shapeId="0" xr:uid="{00000000-0006-0000-1400-000016000000}">
      <text>
        <r>
          <rPr>
            <b/>
            <sz val="9"/>
            <color indexed="81"/>
            <rFont val="Tahoma"/>
            <family val="2"/>
          </rPr>
          <t>Porntip Sooksai:</t>
        </r>
        <r>
          <rPr>
            <sz val="9"/>
            <color indexed="81"/>
            <rFont val="Tahoma"/>
            <family val="2"/>
          </rPr>
          <t xml:space="preserve">
รวมเงินสนับสนุน MA  
ได้รับการจัดสรรเพิ่ม 500,000 บาท เนื่องากศูนย์ประเมินผลไม่ได้เสนอขอรับการจัดสรรงบนี้ในงบปี 66
- 9 กพ.66 ได้รับการจัดสรรเพิ่ม 960000 บาท</t>
        </r>
      </text>
    </comment>
    <comment ref="E46" authorId="0" shapeId="0" xr:uid="{00000000-0006-0000-1400-000017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โอนให้ สศท. เดือน พย.66= 1,123,583 บาท
งบอบรม (ส่วนกลางจัด) เท่ากับ 200,000 บาท
ศสส. ดูภาวะการผลิต ธค.-กพ. เดือนละ 40,000 บาท รวม 3 ด. เป็นเงิน 120,000 บาท
ศสส.ซื้อวัสดุ สนง. เท่ากับ 56,417 บาท
รวมเป็นเงิน 1,500,000 บาท</t>
        </r>
      </text>
    </comment>
    <comment ref="E48" authorId="0" shapeId="0" xr:uid="{00000000-0006-0000-1400-000018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สพร. งบ 2 ล้าน แยกเป็น
ศสส.อบรม 5,000 บาท
เดือน พย.65 โอน สศท.นาปี เท่ากับ 878,400 บาท
ธค. โอน สศท.นาปรัง = 513,132 บาท
มค.66 โอน สศท.ข้าวโพด 2 = 146,400 บาท
กค.66 โอน สศท. ข้าวโพด 1 = 390,888 บาท
ศสส. ดูภาวะการผลิตฯ เดือน มีค. = 36,180 บาท
เมย. = 30,000 บาท  
รวมทั้งหมด 2,000,000 บาท</t>
        </r>
      </text>
    </comment>
    <comment ref="E50" authorId="1" shapeId="0" xr:uid="{00000000-0006-0000-1400-000019000000}">
      <text>
        <r>
          <rPr>
            <b/>
            <sz val="9"/>
            <color indexed="81"/>
            <rFont val="Tahoma"/>
            <family val="2"/>
          </rPr>
          <t>Porntip Sooksai:</t>
        </r>
        <r>
          <rPr>
            <sz val="9"/>
            <color indexed="81"/>
            <rFont val="Tahoma"/>
            <family val="2"/>
          </rPr>
          <t xml:space="preserve">
หักให้ สลก 200,000</t>
        </r>
      </text>
    </comment>
    <comment ref="F50" authorId="0" shapeId="0" xr:uid="{00000000-0006-0000-1400-00001A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หัก 100,000 บาท ให้ สลก.</t>
        </r>
      </text>
    </comment>
    <comment ref="R79" authorId="0" shapeId="0" xr:uid="{00000000-0006-0000-1400-00001B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ผอ.ปรับลดลง 200,000 บาทจาก 741,900 บาท </t>
        </r>
      </text>
    </comment>
    <comment ref="R81" authorId="0" shapeId="0" xr:uid="{00000000-0006-0000-1400-00001C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ผอ.ปรับลดลง 10,000 บาท</t>
        </r>
      </text>
    </comment>
    <comment ref="R82" authorId="0" shapeId="0" xr:uid="{00000000-0006-0000-1400-00001D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ผอ.ปรับลง 20,000 บาท
</t>
        </r>
      </text>
    </comment>
    <comment ref="R83" authorId="0" shapeId="0" xr:uid="{00000000-0006-0000-1400-00001E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20000 บาท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Porntip Sooksai</author>
    <author>ยุภาวรรณ ชินวัฒนชัย</author>
  </authors>
  <commentList>
    <comment ref="P2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Porntip Sooksai:</t>
        </r>
        <r>
          <rPr>
            <sz val="9"/>
            <color indexed="81"/>
            <rFont val="Tahoma"/>
            <family val="2"/>
          </rPr>
          <t xml:space="preserve">
ค่าสาธาฯ นวัตกรรม</t>
        </r>
      </text>
    </comment>
    <comment ref="R2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Porntip Sooksai:</t>
        </r>
        <r>
          <rPr>
            <sz val="9"/>
            <color indexed="81"/>
            <rFont val="Tahoma"/>
            <family val="2"/>
          </rPr>
          <t xml:space="preserve">
ผลเบิกจ่าย ต.ค. - พ.ค.
</t>
        </r>
      </text>
    </comment>
    <comment ref="U2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Porntip Sooksai:</t>
        </r>
        <r>
          <rPr>
            <sz val="9"/>
            <color indexed="81"/>
            <rFont val="Tahoma"/>
            <family val="2"/>
          </rPr>
          <t xml:space="preserve">
เหลือสุทธิตาม บช.ศสส.</t>
        </r>
      </text>
    </comment>
    <comment ref="R6" authorId="1" shapeId="0" xr:uid="{00000000-0006-0000-1500-000004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ต้อง หัก ค่าหมึกพิมพ์ผู้บริหาร ออก เนื่องจากรวมอยู่ใน ผอ.ศสส. และผู้เชี่ยวชาญด้วยแล้ว
</t>
        </r>
      </text>
    </comment>
    <comment ref="E9" authorId="1" shapeId="0" xr:uid="{00000000-0006-0000-1500-000005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ค่า รปภ. 82,000 บาท/ด = 984,000 บาท
ค่าปลวกหนู 11,000 บาท
ค่าเช่าเครื่องถ่ายเอกสาร 13,800 บาท/ด = 165,600 บาท
</t>
        </r>
      </text>
    </comment>
    <comment ref="E10" authorId="1" shapeId="0" xr:uid="{00000000-0006-0000-1500-000006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ค่าสาธารณูปโภค อาคารนวัตกรรม =223,174 บาท</t>
        </r>
      </text>
    </comment>
    <comment ref="O16" authorId="1" shapeId="0" xr:uid="{00000000-0006-0000-1500-000007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10,400 บาท</t>
        </r>
      </text>
    </comment>
    <comment ref="Q16" authorId="1" shapeId="0" xr:uid="{00000000-0006-0000-1500-000008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15,000 บาท</t>
        </r>
      </text>
    </comment>
    <comment ref="S16" authorId="1" shapeId="0" xr:uid="{00000000-0006-0000-1500-000009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25,000 บาท
</t>
        </r>
      </text>
    </comment>
    <comment ref="X16" authorId="1" shapeId="0" xr:uid="{00000000-0006-0000-1500-00000A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10,000 บาท</t>
        </r>
      </text>
    </comment>
    <comment ref="AR16" authorId="0" shapeId="0" xr:uid="{00000000-0006-0000-1500-00000B000000}">
      <text>
        <r>
          <rPr>
            <b/>
            <sz val="9"/>
            <color indexed="81"/>
            <rFont val="Tahoma"/>
            <family val="2"/>
          </rPr>
          <t>Porntip Sooksai:</t>
        </r>
        <r>
          <rPr>
            <sz val="9"/>
            <color indexed="81"/>
            <rFont val="Tahoma"/>
            <family val="2"/>
          </rPr>
          <t xml:space="preserve">
รวมค่าหมึก
</t>
        </r>
      </text>
    </comment>
    <comment ref="S18" authorId="1" shapeId="0" xr:uid="{00000000-0006-0000-1500-00000C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ผอ.ให้ปรับลดยอดลง 10,000 บาท
</t>
        </r>
      </text>
    </comment>
    <comment ref="S20" authorId="1" shapeId="0" xr:uid="{00000000-0006-0000-1500-00000D000000}">
      <text>
        <r>
          <rPr>
            <b/>
            <sz val="9"/>
            <color indexed="81"/>
            <rFont val="Tahoma"/>
            <family val="2"/>
          </rPr>
          <t>ยุภาวรรณ ชินวัฒนชัย:
ผอ.ปรับลดลง 10,000 บาท</t>
        </r>
      </text>
    </comment>
    <comment ref="E21" authorId="1" shapeId="0" xr:uid="{00000000-0006-0000-1500-00000E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ผอ.ปรับลดลง 200,000 บาทจาก 741,900 บาท </t>
        </r>
      </text>
    </comment>
    <comment ref="Q21" authorId="1" shapeId="0" xr:uid="{00000000-0006-0000-1500-00000F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ผอ.ปรับลดลง 100,000 บาท</t>
        </r>
      </text>
    </comment>
    <comment ref="S21" authorId="1" shapeId="0" xr:uid="{00000000-0006-0000-1500-000010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ผอ.ปรับลด 100,000 บาท</t>
        </r>
      </text>
    </comment>
    <comment ref="E23" authorId="1" shapeId="0" xr:uid="{00000000-0006-0000-1500-000011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ผอ.ปรับลดลง 10,000 บาท</t>
        </r>
      </text>
    </comment>
    <comment ref="E24" authorId="1" shapeId="0" xr:uid="{00000000-0006-0000-1500-000012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ผอ.ปรับลง 20,000 บาท
</t>
        </r>
      </text>
    </comment>
    <comment ref="Q24" authorId="1" shapeId="0" xr:uid="{00000000-0006-0000-1500-000013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10,000 บาท</t>
        </r>
      </text>
    </comment>
    <comment ref="S24" authorId="1" shapeId="0" xr:uid="{00000000-0006-0000-1500-000014000000}">
      <text>
        <r>
          <rPr>
            <b/>
            <sz val="9"/>
            <color indexed="81"/>
            <rFont val="Tahoma"/>
            <family val="2"/>
          </rPr>
          <t>ยุภาวรรณ ชินวัฒนชัย:ปรับลดลง 10,000 บาท</t>
        </r>
      </text>
    </comment>
    <comment ref="E25" authorId="1" shapeId="0" xr:uid="{00000000-0006-0000-1500-000015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20000 บาท
</t>
        </r>
      </text>
    </comment>
    <comment ref="O25" authorId="1" shapeId="0" xr:uid="{00000000-0006-0000-1500-000016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10,000 บาท
</t>
        </r>
      </text>
    </comment>
    <comment ref="S25" authorId="1" shapeId="0" xr:uid="{00000000-0006-0000-1500-000017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10,000 บาท
</t>
        </r>
      </text>
    </comment>
    <comment ref="E37" authorId="0" shapeId="0" xr:uid="{00000000-0006-0000-1500-000018000000}">
      <text>
        <r>
          <rPr>
            <b/>
            <sz val="9"/>
            <color indexed="81"/>
            <rFont val="Tahoma"/>
            <family val="2"/>
          </rPr>
          <t>Porntip Sooksai:</t>
        </r>
        <r>
          <rPr>
            <sz val="9"/>
            <color indexed="81"/>
            <rFont val="Tahoma"/>
            <family val="2"/>
          </rPr>
          <t xml:space="preserve">
หักโอนให้ สศท.11 702,600</t>
        </r>
      </text>
    </comment>
    <comment ref="E44" authorId="0" shapeId="0" xr:uid="{00000000-0006-0000-1500-000019000000}">
      <text>
        <r>
          <rPr>
            <b/>
            <sz val="9"/>
            <color indexed="81"/>
            <rFont val="Tahoma"/>
            <family val="2"/>
          </rPr>
          <t>Porntip Sooksai:</t>
        </r>
        <r>
          <rPr>
            <sz val="9"/>
            <color indexed="81"/>
            <rFont val="Tahoma"/>
            <family val="2"/>
          </rPr>
          <t xml:space="preserve">
รวมเงินสนับสนุน MA  
ได้รับการจัดสรรเพิ่ม 500,000 บาท เนื่องากศูนย์ประเมินผลไม่ได้เสนอขอรับการจัดสรรงบนี้ในงบปี 66
- 9 กพ.66 ได้รับการจัดสรรเพิ่ม 960000 บาท</t>
        </r>
      </text>
    </comment>
    <comment ref="E46" authorId="1" shapeId="0" xr:uid="{00000000-0006-0000-1500-00001A000000}">
      <text>
        <r>
          <rPr>
            <b/>
            <sz val="9"/>
            <color indexed="81"/>
            <rFont val="Tahoma"/>
            <family val="2"/>
          </rPr>
          <t xml:space="preserve">ยุภาวรรณ ชินวัฒนชัย:
หัก โอนให้ สลก. 46000 บาท
</t>
        </r>
      </text>
    </comment>
    <comment ref="I46" authorId="0" shapeId="0" xr:uid="{00000000-0006-0000-1500-00001B000000}">
      <text>
        <r>
          <rPr>
            <b/>
            <sz val="9"/>
            <color indexed="81"/>
            <rFont val="Tahoma"/>
            <family val="2"/>
          </rPr>
          <t>Porntip Sooksai:</t>
        </r>
        <r>
          <rPr>
            <sz val="9"/>
            <color indexed="81"/>
            <rFont val="Tahoma"/>
            <family val="2"/>
          </rPr>
          <t xml:space="preserve">
รับ 200,000
หัก สลก. 46,000
เหลือ 154,000</t>
        </r>
      </text>
    </comment>
    <comment ref="E48" authorId="1" shapeId="0" xr:uid="{00000000-0006-0000-1500-00001C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โอนให้ สศท. เดือน พย.66= 1,123,583 บาท
งบอบรม (ส่วนกลางจัด) เท่ากับ 200,000 บาท
ศสส. ดูภาวะการผลิต ธค.-กพ. เดือนละ 40,000 บาท รวม 3 ด. เป็นเงิน 120,000 บาท
ศสส.ซื้อวัสดุ สนง. เท่ากับ 56,417 บาท
รวมเป็นเงิน 1,500,000 บาท</t>
        </r>
      </text>
    </comment>
    <comment ref="E50" authorId="1" shapeId="0" xr:uid="{00000000-0006-0000-1500-00001D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สพร. งบ 2 ล้าน แยกเป็น
ศสส.อบรม 5,000 บาท
เดือน พย.65 โอน สศท.นาปี เท่ากับ 878,400 บาท
ธค. โอน สศท.นาปรัง = 513,132 บาท
มค.66 โอน สศท.ข้าวโพด 2 = 146,400 บาท
กค.66 โอน สศท. ข้าวโพด 1 = 390,888 บาท
ศสส. ดูภาวะการผลิตฯ เดือน มีค. = 36,180 บาท
เมย. = 30,000 บาท  
รวมทั้งหมด 2,000,000 บาท</t>
        </r>
      </text>
    </comment>
    <comment ref="E52" authorId="0" shapeId="0" xr:uid="{00000000-0006-0000-1500-00001E000000}">
      <text>
        <r>
          <rPr>
            <b/>
            <sz val="9"/>
            <color indexed="81"/>
            <rFont val="Tahoma"/>
            <family val="2"/>
          </rPr>
          <t>Porntip Sooksai:</t>
        </r>
        <r>
          <rPr>
            <sz val="9"/>
            <color indexed="81"/>
            <rFont val="Tahoma"/>
            <family val="2"/>
          </rPr>
          <t xml:space="preserve">
หักให้ สลก 200,000</t>
        </r>
      </text>
    </comment>
    <comment ref="F52" authorId="1" shapeId="0" xr:uid="{00000000-0006-0000-1500-00001F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หัก 100,000 บาท ให้ สลก.</t>
        </r>
      </text>
    </comment>
    <comment ref="J62" authorId="1" shapeId="0" xr:uid="{00000000-0006-0000-1500-000020000000}">
      <text>
        <r>
          <rPr>
            <b/>
            <sz val="9"/>
            <color indexed="81"/>
            <rFont val="Tahoma"/>
            <family val="2"/>
          </rPr>
          <t xml:space="preserve">ยุภาวรรณ ชินวัฒนชัย:
</t>
        </r>
        <r>
          <rPr>
            <sz val="9"/>
            <color indexed="81"/>
            <rFont val="Tahoma"/>
            <family val="2"/>
          </rPr>
          <t>เงินงบประมาณเบิกแทนกัน ให้กรมส่งเสริมการเกษตร</t>
        </r>
        <r>
          <rPr>
            <b/>
            <sz val="9"/>
            <color indexed="81"/>
            <rFont val="Tahoma"/>
            <family val="2"/>
          </rPr>
          <t xml:space="preserve">
1453000
</t>
        </r>
      </text>
    </comment>
    <comment ref="U81" authorId="1" shapeId="0" xr:uid="{00000000-0006-0000-1500-000021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ผอ.ปรับลดลง 200,000 บาทจาก 741,900 บาท </t>
        </r>
      </text>
    </comment>
    <comment ref="U83" authorId="1" shapeId="0" xr:uid="{00000000-0006-0000-1500-000022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ผอ.ปรับลดลง 10,000 บาท</t>
        </r>
      </text>
    </comment>
    <comment ref="U84" authorId="1" shapeId="0" xr:uid="{00000000-0006-0000-1500-000023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ผอ.ปรับลง 20,000 บาท
</t>
        </r>
      </text>
    </comment>
    <comment ref="U85" authorId="1" shapeId="0" xr:uid="{00000000-0006-0000-1500-000024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20000 บาท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Porntip Sooksai</author>
    <author>ยุภาวรรณ ชินวัฒนชัย</author>
  </authors>
  <commentList>
    <comment ref="P2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Porntip Sooksai:</t>
        </r>
        <r>
          <rPr>
            <sz val="9"/>
            <color indexed="81"/>
            <rFont val="Tahoma"/>
            <family val="2"/>
          </rPr>
          <t xml:space="preserve">
ค่าสาธาฯ นวัตกรรม</t>
        </r>
      </text>
    </comment>
    <comment ref="R2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Porntip Sooksai:</t>
        </r>
        <r>
          <rPr>
            <sz val="9"/>
            <color indexed="81"/>
            <rFont val="Tahoma"/>
            <family val="2"/>
          </rPr>
          <t xml:space="preserve">
ผลเบิกจ่าย ต.ค. - พ.ค.
</t>
        </r>
      </text>
    </comment>
    <comment ref="U2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Porntip Sooksai:</t>
        </r>
        <r>
          <rPr>
            <sz val="9"/>
            <color indexed="81"/>
            <rFont val="Tahoma"/>
            <family val="2"/>
          </rPr>
          <t xml:space="preserve">
เหลือสุทธิตาม บช.ศสส.</t>
        </r>
      </text>
    </comment>
    <comment ref="R6" authorId="1" shapeId="0" xr:uid="{00000000-0006-0000-1600-000004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ต้อง หัก ค่าหมึกพิมพ์ผู้บริหาร ออก เนื่องจากรวมอยู่ใน ผอ.ศสส. และผู้เชี่ยวชาญด้วยแล้ว
</t>
        </r>
      </text>
    </comment>
    <comment ref="E9" authorId="1" shapeId="0" xr:uid="{00000000-0006-0000-1600-000005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ค่า รปภ. 82,000 บาท/ด = 984,000 บาท
ค่าปลวกหนู 11,000 บาท
ค่าเช่าเครื่องถ่ายเอกสาร 13,800 บาท/ด = 165,600 บาท
</t>
        </r>
      </text>
    </comment>
    <comment ref="E10" authorId="1" shapeId="0" xr:uid="{00000000-0006-0000-1600-000006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ค่าสาธารณูปโภค อาคารนวัตกรรม =223,174 บาท</t>
        </r>
      </text>
    </comment>
    <comment ref="O16" authorId="1" shapeId="0" xr:uid="{00000000-0006-0000-1600-000007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10,400 บาท</t>
        </r>
      </text>
    </comment>
    <comment ref="Q16" authorId="1" shapeId="0" xr:uid="{00000000-0006-0000-1600-000008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15,000 บาท</t>
        </r>
      </text>
    </comment>
    <comment ref="S16" authorId="1" shapeId="0" xr:uid="{00000000-0006-0000-1600-000009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25,000 บาท
</t>
        </r>
      </text>
    </comment>
    <comment ref="X16" authorId="1" shapeId="0" xr:uid="{00000000-0006-0000-1600-00000A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10,000 บาท</t>
        </r>
      </text>
    </comment>
    <comment ref="AR16" authorId="0" shapeId="0" xr:uid="{00000000-0006-0000-1600-00000B000000}">
      <text>
        <r>
          <rPr>
            <b/>
            <sz val="9"/>
            <color indexed="81"/>
            <rFont val="Tahoma"/>
            <family val="2"/>
          </rPr>
          <t>Porntip Sooksai:</t>
        </r>
        <r>
          <rPr>
            <sz val="9"/>
            <color indexed="81"/>
            <rFont val="Tahoma"/>
            <family val="2"/>
          </rPr>
          <t xml:space="preserve">
รวมค่าหมึก
</t>
        </r>
      </text>
    </comment>
    <comment ref="S18" authorId="1" shapeId="0" xr:uid="{00000000-0006-0000-1600-00000C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ผอ.ให้ปรับลดยอดลง 10,000 บาท
</t>
        </r>
      </text>
    </comment>
    <comment ref="S20" authorId="1" shapeId="0" xr:uid="{00000000-0006-0000-1600-00000D000000}">
      <text>
        <r>
          <rPr>
            <b/>
            <sz val="9"/>
            <color indexed="81"/>
            <rFont val="Tahoma"/>
            <family val="2"/>
          </rPr>
          <t>ยุภาวรรณ ชินวัฒนชัย:
ผอ.ปรับลดลง 10,000 บาท</t>
        </r>
      </text>
    </comment>
    <comment ref="E21" authorId="1" shapeId="0" xr:uid="{00000000-0006-0000-1600-00000E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ผอ.ปรับลดลง 200,000 บาทจาก 741,900 บาท </t>
        </r>
      </text>
    </comment>
    <comment ref="Q21" authorId="1" shapeId="0" xr:uid="{00000000-0006-0000-1600-00000F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ผอ.ปรับลดลง 100,000 บาท</t>
        </r>
      </text>
    </comment>
    <comment ref="S21" authorId="1" shapeId="0" xr:uid="{00000000-0006-0000-1600-000010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ผอ.ปรับลด 100,000 บาท</t>
        </r>
      </text>
    </comment>
    <comment ref="E23" authorId="1" shapeId="0" xr:uid="{00000000-0006-0000-1600-000011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ผอ.ปรับลดลง 10,000 บาท</t>
        </r>
      </text>
    </comment>
    <comment ref="E24" authorId="1" shapeId="0" xr:uid="{00000000-0006-0000-1600-000012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ผอ.ปรับลง 20,000 บาท
</t>
        </r>
      </text>
    </comment>
    <comment ref="Q24" authorId="1" shapeId="0" xr:uid="{00000000-0006-0000-1600-000013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10,000 บาท</t>
        </r>
      </text>
    </comment>
    <comment ref="S24" authorId="1" shapeId="0" xr:uid="{00000000-0006-0000-1600-000014000000}">
      <text>
        <r>
          <rPr>
            <b/>
            <sz val="9"/>
            <color indexed="81"/>
            <rFont val="Tahoma"/>
            <family val="2"/>
          </rPr>
          <t>ยุภาวรรณ ชินวัฒนชัย:ปรับลดลง 10,000 บาท</t>
        </r>
      </text>
    </comment>
    <comment ref="E25" authorId="1" shapeId="0" xr:uid="{00000000-0006-0000-1600-000015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20000 บาท
</t>
        </r>
      </text>
    </comment>
    <comment ref="O25" authorId="1" shapeId="0" xr:uid="{00000000-0006-0000-1600-000016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10,000 บาท
</t>
        </r>
      </text>
    </comment>
    <comment ref="S25" authorId="1" shapeId="0" xr:uid="{00000000-0006-0000-1600-000017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10,000 บาท
</t>
        </r>
      </text>
    </comment>
    <comment ref="E37" authorId="0" shapeId="0" xr:uid="{00000000-0006-0000-1600-000018000000}">
      <text>
        <r>
          <rPr>
            <b/>
            <sz val="9"/>
            <color indexed="81"/>
            <rFont val="Tahoma"/>
            <family val="2"/>
          </rPr>
          <t>Porntip Sooksai:</t>
        </r>
        <r>
          <rPr>
            <sz val="9"/>
            <color indexed="81"/>
            <rFont val="Tahoma"/>
            <family val="2"/>
          </rPr>
          <t xml:space="preserve">
หักโอนให้ สศท.11 702,600</t>
        </r>
      </text>
    </comment>
    <comment ref="E44" authorId="0" shapeId="0" xr:uid="{00000000-0006-0000-1600-000019000000}">
      <text>
        <r>
          <rPr>
            <b/>
            <sz val="9"/>
            <color indexed="81"/>
            <rFont val="Tahoma"/>
            <family val="2"/>
          </rPr>
          <t>Porntip Sooksai:</t>
        </r>
        <r>
          <rPr>
            <sz val="9"/>
            <color indexed="81"/>
            <rFont val="Tahoma"/>
            <family val="2"/>
          </rPr>
          <t xml:space="preserve">
รวมเงินสนับสนุน MA  
ได้รับการจัดสรรเพิ่ม 500,000 บาท เนื่องากศูนย์ประเมินผลไม่ได้เสนอขอรับการจัดสรรงบนี้ในงบปี 66
- 9 กพ.66 ได้รับการจัดสรรเพิ่ม 960000 บาท</t>
        </r>
      </text>
    </comment>
    <comment ref="E46" authorId="1" shapeId="0" xr:uid="{00000000-0006-0000-1600-00001A000000}">
      <text>
        <r>
          <rPr>
            <b/>
            <sz val="9"/>
            <color indexed="81"/>
            <rFont val="Tahoma"/>
            <family val="2"/>
          </rPr>
          <t xml:space="preserve">ยุภาวรรณ ชินวัฒนชัย:
หัก โอนให้ สลก. 46000 บาท
</t>
        </r>
      </text>
    </comment>
    <comment ref="I46" authorId="0" shapeId="0" xr:uid="{00000000-0006-0000-1600-00001B000000}">
      <text>
        <r>
          <rPr>
            <b/>
            <sz val="9"/>
            <color indexed="81"/>
            <rFont val="Tahoma"/>
            <family val="2"/>
          </rPr>
          <t>Porntip Sooksai:</t>
        </r>
        <r>
          <rPr>
            <sz val="9"/>
            <color indexed="81"/>
            <rFont val="Tahoma"/>
            <family val="2"/>
          </rPr>
          <t xml:space="preserve">
รับ 200,000
หัก สลก. 46,000
เหลือ 154,000</t>
        </r>
      </text>
    </comment>
    <comment ref="E48" authorId="1" shapeId="0" xr:uid="{00000000-0006-0000-1600-00001C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โอนให้ สศท. เดือน พย.66= 1,123,583 บาท
งบอบรม (ส่วนกลางจัด) เท่ากับ 200,000 บาท
ศสส. ดูภาวะการผลิต ธค.-กพ. เดือนละ 40,000 บาท รวม 3 ด. เป็นเงิน 120,000 บาท
ศสส.ซื้อวัสดุ สนง. เท่ากับ 56,417 บาท
รวมเป็นเงิน 1,500,000 บาท</t>
        </r>
      </text>
    </comment>
    <comment ref="E50" authorId="1" shapeId="0" xr:uid="{00000000-0006-0000-1600-00001D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สพร. งบ 2 ล้าน แยกเป็น
ศสส.อบรม 5,000 บาท
เดือน พย.65 โอน สศท.นาปี เท่ากับ 878,400 บาท
ธค. โอน สศท.นาปรัง = 513,132 บาท
มค.66 โอน สศท.ข้าวโพด 2 = 146,400 บาท
กค.66 โอน สศท. ข้าวโพด 1 = 390,888 บาท
ศสส. ดูภาวะการผลิตฯ เดือน มีค. = 36,180 บาท
เมย. = 30,000 บาท  
รวมทั้งหมด 2,000,000 บาท</t>
        </r>
      </text>
    </comment>
    <comment ref="E52" authorId="0" shapeId="0" xr:uid="{00000000-0006-0000-1600-00001E000000}">
      <text>
        <r>
          <rPr>
            <b/>
            <sz val="9"/>
            <color indexed="81"/>
            <rFont val="Tahoma"/>
            <family val="2"/>
          </rPr>
          <t>Porntip Sooksai:</t>
        </r>
        <r>
          <rPr>
            <sz val="9"/>
            <color indexed="81"/>
            <rFont val="Tahoma"/>
            <family val="2"/>
          </rPr>
          <t xml:space="preserve">
หักให้ สลก 200,000</t>
        </r>
      </text>
    </comment>
    <comment ref="F52" authorId="1" shapeId="0" xr:uid="{00000000-0006-0000-1600-00001F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หัก 100,000 บาท ให้ สลก.</t>
        </r>
      </text>
    </comment>
    <comment ref="J62" authorId="1" shapeId="0" xr:uid="{00000000-0006-0000-1600-000020000000}">
      <text>
        <r>
          <rPr>
            <b/>
            <sz val="9"/>
            <color indexed="81"/>
            <rFont val="Tahoma"/>
            <family val="2"/>
          </rPr>
          <t xml:space="preserve">ยุภาวรรณ ชินวัฒนชัย:
</t>
        </r>
        <r>
          <rPr>
            <sz val="9"/>
            <color indexed="81"/>
            <rFont val="Tahoma"/>
            <family val="2"/>
          </rPr>
          <t>เงินงบประมาณเบิกแทนกัน ให้กรมส่งเสริมการเกษตร</t>
        </r>
        <r>
          <rPr>
            <b/>
            <sz val="9"/>
            <color indexed="81"/>
            <rFont val="Tahoma"/>
            <family val="2"/>
          </rPr>
          <t xml:space="preserve">
1453000
</t>
        </r>
      </text>
    </comment>
    <comment ref="U81" authorId="1" shapeId="0" xr:uid="{00000000-0006-0000-1600-000021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ผอ.ปรับลดลง 200,000 บาทจาก 741,900 บาท </t>
        </r>
      </text>
    </comment>
    <comment ref="U83" authorId="1" shapeId="0" xr:uid="{00000000-0006-0000-1600-000022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ผอ.ปรับลดลง 10,000 บาท</t>
        </r>
      </text>
    </comment>
    <comment ref="U84" authorId="1" shapeId="0" xr:uid="{00000000-0006-0000-1600-000023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ผอ.ปรับลง 20,000 บาท
</t>
        </r>
      </text>
    </comment>
    <comment ref="U85" authorId="1" shapeId="0" xr:uid="{00000000-0006-0000-1600-000024000000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ปรับลดลง 20000 บาท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วรัตติกาล พันหนองหว้า</author>
    <author>ยุภาวรรณ ชินวัฒนชัย</author>
  </authors>
  <commentList>
    <comment ref="D9" authorId="0" shapeId="0" xr:uid="{D3D60EFD-6574-4F6C-BCBE-1473EBBF35B1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กำจัดปลวก เช่าเครื่องถ่ายเอกสาร รปภ.</t>
        </r>
      </text>
    </comment>
    <comment ref="F51" authorId="1" shapeId="0" xr:uid="{625253B2-7ED5-473F-AF4F-3B5F59A9DF22}">
      <text>
        <r>
          <rPr>
            <b/>
            <sz val="9"/>
            <color indexed="81"/>
            <rFont val="Tahoma"/>
            <family val="2"/>
          </rPr>
          <t>ยุภาวรรณ ชินวัฒนชัย:</t>
        </r>
        <r>
          <rPr>
            <sz val="9"/>
            <color indexed="81"/>
            <rFont val="Tahoma"/>
            <family val="2"/>
          </rPr>
          <t xml:space="preserve">
หัก 100,000 บาท ให้ สลก.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วรัตติกาล พันหนองหว้า</author>
    <author>กนกวรรณ นันขุนทด</author>
  </authors>
  <commentList>
    <comment ref="B8" authorId="0" shapeId="0" xr:uid="{94518D8F-3D9E-4F7C-97EF-259508EC1FF2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บวกได้รับจัดสรรจากส่วนกลาง</t>
        </r>
      </text>
    </comment>
    <comment ref="B9" authorId="0" shapeId="0" xr:uid="{95438BA2-3E82-4215-8DBF-55D39B5C0076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บวกได้รับจัดสรรจากส่วนกลาง</t>
        </r>
      </text>
    </comment>
    <comment ref="C9" authorId="1" shapeId="0" xr:uid="{E465B3F8-02CF-43B1-9252-2267B5E4CC42}">
      <text>
        <r>
          <rPr>
            <b/>
            <sz val="9"/>
            <color indexed="81"/>
            <rFont val="Tahoma"/>
            <family val="2"/>
          </rPr>
          <t>กนกวรรณ นันขุนทด:</t>
        </r>
        <r>
          <rPr>
            <sz val="9"/>
            <color indexed="81"/>
            <rFont val="Tahoma"/>
            <family val="2"/>
          </rPr>
          <t xml:space="preserve">
รวมโอน ค.1 ค.2
 537,920</t>
        </r>
      </text>
    </comment>
    <comment ref="B15" authorId="0" shapeId="0" xr:uid="{90D938A3-AE62-48B0-81B3-7BF6745EAAB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ยอดแรกงบรายจ่ายอื่น 2,952,000 (6 เดือน)
ยอดหลังงบดำเนินงาน 984,000 (2 เดือน)</t>
        </r>
      </text>
    </comment>
    <comment ref="F20" authorId="0" shapeId="0" xr:uid="{8BAC5E7E-C63E-4986-A261-066791D3070F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เงินเหลือจากอบรม 166,000 ให้ สปร. ใช้สำรวจ</t>
        </r>
      </text>
    </comment>
    <comment ref="C22" authorId="1" shapeId="0" xr:uid="{12292BE5-E429-4FA8-9767-6E11F9406236}">
      <text>
        <r>
          <rPr>
            <b/>
            <sz val="9"/>
            <color indexed="81"/>
            <rFont val="Tahoma"/>
            <family val="2"/>
          </rPr>
          <t>กนกวรรณ นันขุนทด
ยอดเดิม 1,083,960 ปรับตอนโอนค.1ค.2 เป็น 1,082,360
ดึงคืน 17935 โอนเพิ่ม 21000</t>
        </r>
      </text>
    </comment>
    <comment ref="C23" authorId="1" shapeId="0" xr:uid="{8BCAE77F-7C0F-49FE-84D0-83CF4276626F}">
      <text>
        <r>
          <rPr>
            <b/>
            <sz val="9"/>
            <color indexed="81"/>
            <rFont val="Tahoma"/>
            <family val="2"/>
          </rPr>
          <t>กนกวรรณ นันขุนทด:</t>
        </r>
        <r>
          <rPr>
            <sz val="9"/>
            <color indexed="81"/>
            <rFont val="Tahoma"/>
            <family val="2"/>
          </rPr>
          <t xml:space="preserve">
ยอดเดิม 3597120
หลังโอนค.1ค2 ดึงคืน 
31474 เขต 4
21226 เขต 6
65144 เขต 7
27816 เขต 10
16100 เขต 11
</t>
        </r>
      </text>
    </comment>
    <comment ref="E45" authorId="0" shapeId="0" xr:uid="{46FAB937-9519-41E9-BA99-468091BC5718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หักกันผู้บริหาร</t>
        </r>
      </text>
    </comment>
    <comment ref="F45" authorId="0" shapeId="0" xr:uid="{F6B58F37-3ECA-47B5-AB2E-BE0834419466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หักรับงวดแรกและโอนให้เขต</t>
        </r>
      </text>
    </comment>
    <comment ref="H71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โอนเปลี่ยนแปลง</t>
        </r>
      </text>
    </comment>
    <comment ref="B72" authorId="0" shapeId="0" xr:uid="{00000000-0006-0000-1700-000002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ได้รับทั้งสิน 28,188,500
ได้รับจัดสรรเพิ่ม MA ยอดใช้ 6789250 
(ยอดขอ 7,860,000)
รายการที่หักคือกันเงินผู้บริหาร</t>
        </r>
      </text>
    </comment>
    <comment ref="D72" authorId="0" shapeId="0" xr:uid="{00000000-0006-0000-1700-0000030000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วรัตติกาล พันหนองหว้า</author>
  </authors>
  <commentList>
    <comment ref="B7" authorId="0" shapeId="0" xr:uid="{6035D8F1-13DD-4213-BB9E-EB09F24989BF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61,641,600 - 3,416,400
= +61641600-3416400=
58,225,200</t>
        </r>
      </text>
    </comment>
    <comment ref="B9" authorId="0" shapeId="0" xr:uid="{9164DF6C-AE9D-45BE-A10E-C920D35CFF7A}">
      <text>
        <r>
          <rPr>
            <b/>
            <sz val="9"/>
            <color indexed="81"/>
            <rFont val="Tahoma"/>
            <family val="2"/>
          </rPr>
          <t>วรัตติกาล พันหนองหว้า:งบพื้นฐานทั้งหมด - MA,ลงทุน,กันผู้บริหาร</t>
        </r>
      </text>
    </comment>
    <comment ref="B10" authorId="0" shapeId="0" xr:uid="{2D6D4466-8D99-4593-83E7-97EAB7B12E00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1. 6 เดือนแรกใช้งบรายจ่ายอื่น  = 2,943,000
2. 6 เดือนหลังใช้งบดำเนินงาน = 4,744,864</t>
        </r>
      </text>
    </comment>
    <comment ref="H82" authorId="0" shapeId="0" xr:uid="{A2AE00CD-D30C-4F89-BFFF-8C83382646FF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โอนเปลี่ยนแปลง</t>
        </r>
      </text>
    </comment>
    <comment ref="B83" authorId="0" shapeId="0" xr:uid="{28A5919A-ACDE-462F-AC58-9308153E9809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ได้รับทั้งสิน 28,188,500
ได้รับจัดสรรเพิ่ม MA ยอดใช้ 6789250 
(ยอดขอ 7,860,000)
รายการที่หักคือกันเงินผู้บริหาร</t>
        </r>
      </text>
    </comment>
    <comment ref="D83" authorId="0" shapeId="0" xr:uid="{FC8D4B72-7065-4412-8396-0638EC88CCA7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วรัตติกาล พันหนองหว้า</author>
  </authors>
  <commentList>
    <comment ref="B9" authorId="0" shapeId="0" xr:uid="{F5870452-8400-4E82-A6BD-982E06FA8D3C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ยอดแผนพื้นฐานทั้งหมด ลบ ลงทุน  ส่วนกลาง สาธารณูปโภค ma</t>
        </r>
      </text>
    </comment>
    <comment ref="H114" authorId="0" shapeId="0" xr:uid="{FBB18D41-876C-44FF-8DD2-A79BE75565DA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โอนเปลี่ยนแปลง</t>
        </r>
      </text>
    </comment>
    <comment ref="B115" authorId="0" shapeId="0" xr:uid="{52300023-290A-4D10-9105-017A3DF9BF69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ได้รับทั้งสิน 28,188,500
ได้รับจัดสรรเพิ่ม MA ยอดใช้ 6789250 
(ยอดขอ 7,860,000)
รายการที่หักคือกันเงินผู้บริหาร</t>
        </r>
      </text>
    </comment>
    <comment ref="D115" authorId="0" shapeId="0" xr:uid="{C442E38E-56B6-4DE4-81D1-C3B2FC13C064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วรัตติกาล พันหนองหว้า</author>
  </authors>
  <commentList>
    <comment ref="B6" authorId="0" shapeId="0" xr:uid="{4BFBD380-DA50-4D5C-B486-76123550E0DC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งบทั้งหมด ลบ งบลงทุน + Ma ที่ได้รับทั้งหมด ลบ คืน สลก 2 ยอด 181300 
บวกโอนเปลี่ยนแปลง 802700
การเงินให้งบมาเพิ่ม 5 แสน ในเดือนสิงหาคม 67
การเงินให้งบมาเพิ่ม 5 แสน เดือน ส.ค. 67
สทส. ทำ ma </t>
        </r>
      </text>
    </comment>
    <comment ref="C6" authorId="0" shapeId="0" xr:uid="{A0D796C5-3F08-4FD4-841C-9CBC134EB91C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ลบงบลทุน MA  ค่าสาธารฯ 
</t>
        </r>
      </text>
    </comment>
    <comment ref="C8" authorId="0" shapeId="0" xr:uid="{2BCA4424-9A24-4076-BFE1-5B66AF769B81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ยอดแรกคือยอดปี 67
</t>
        </r>
      </text>
    </comment>
    <comment ref="B12" authorId="0" shapeId="0" xr:uid="{063BAC95-E4E3-4DAE-8806-C4D97EA9B3D1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1. 6 เดือนแรกใช้งบรายจ่ายอื่น  = 2,943,000
2. 6 เดือนหลังใช้งบดำเนินงาน = 4,744,864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วรัตติกาล พันหนองหว้า</author>
  </authors>
  <commentList>
    <comment ref="B15" authorId="0" shapeId="0" xr:uid="{3614BB4B-787C-4A53-8907-15C77FE42606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ยอดแรก 8 เดือนยอดหลัง 4 เดือน</t>
        </r>
      </text>
    </comment>
    <comment ref="C16" authorId="0" shapeId="0" xr:uid="{15D72AB5-68B5-43EC-8C7C-B14E8B71523D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รอปรับลดพี่กรหยุดงาน ยังไม่หักค่าจ้างออก</t>
        </r>
      </text>
    </comment>
    <comment ref="C23" authorId="0" shapeId="0" xr:uid="{1AD224D1-7362-4562-AC9C-008B7929857B}">
      <text>
        <r>
          <rPr>
            <b/>
            <sz val="9"/>
            <color indexed="81"/>
            <rFont val="Tahoma"/>
            <family val="2"/>
          </rPr>
          <t>วรัตติกาล พันหนองหว้า:</t>
        </r>
        <r>
          <rPr>
            <sz val="9"/>
            <color indexed="81"/>
            <rFont val="Tahoma"/>
            <family val="2"/>
          </rPr>
          <t xml:space="preserve">
บวกที่คำนวณจ้างเหมาเกิน 18,000 เหลือ พขร. ยังไม่หัก</t>
        </r>
      </text>
    </comment>
  </commentList>
</comments>
</file>

<file path=xl/sharedStrings.xml><?xml version="1.0" encoding="utf-8"?>
<sst xmlns="http://schemas.openxmlformats.org/spreadsheetml/2006/main" count="6385" uniqueCount="1057">
  <si>
    <t>รายการ</t>
  </si>
  <si>
    <t>สพส.</t>
  </si>
  <si>
    <t>สพร.</t>
  </si>
  <si>
    <t>สสป.</t>
  </si>
  <si>
    <t>สกก.</t>
  </si>
  <si>
    <t>สพก.</t>
  </si>
  <si>
    <t>ฝบท.</t>
  </si>
  <si>
    <t>ค่าตอบแทน</t>
  </si>
  <si>
    <t>1.ค่าล่วงเวลา</t>
  </si>
  <si>
    <t>ค่าใช้สอย</t>
  </si>
  <si>
    <t>3.ค่าซ่อมครุภัณฑ์สำนักงาน</t>
  </si>
  <si>
    <t>5.ค่าจ้างเหมาบริการ</t>
  </si>
  <si>
    <t>ค่าวัสดุ</t>
  </si>
  <si>
    <t>1.ค่าวัสดุสำนักงาน</t>
  </si>
  <si>
    <t>3.ค่าวัสดุวิทยาศาสตร์</t>
  </si>
  <si>
    <t>4.ค่าวัสดุคอมพิวเตอร์</t>
  </si>
  <si>
    <t>คงเหลือ</t>
  </si>
  <si>
    <t>1.ค่าเบี้ยเลี้ยงที่พักและพาหนะ</t>
  </si>
  <si>
    <t>หมายเหตุ</t>
  </si>
  <si>
    <t xml:space="preserve"> คงเหลือ </t>
  </si>
  <si>
    <t>สปร.</t>
  </si>
  <si>
    <t>สปข.</t>
  </si>
  <si>
    <t>ร้อยละ</t>
  </si>
  <si>
    <t>สทส.</t>
  </si>
  <si>
    <t>สภท.</t>
  </si>
  <si>
    <t>รวมทั้งสิ้น</t>
  </si>
  <si>
    <t>รายจ่าย</t>
  </si>
  <si>
    <t>จัดสรร</t>
  </si>
  <si>
    <t>รวม</t>
  </si>
  <si>
    <t>งบประมาณ</t>
  </si>
  <si>
    <t xml:space="preserve"> 1.ค่าไฟฟ้า</t>
  </si>
  <si>
    <t xml:space="preserve"> 3.ค่าโทรศัพท์</t>
  </si>
  <si>
    <t xml:space="preserve"> 4.ค่าไปรษณีย์</t>
  </si>
  <si>
    <t>ขอความ</t>
  </si>
  <si>
    <t>เห็นชอบ</t>
  </si>
  <si>
    <t>(1)</t>
  </si>
  <si>
    <t>(2)</t>
  </si>
  <si>
    <t xml:space="preserve"> งบประมาณ</t>
  </si>
  <si>
    <t>การใช้จ่าย</t>
  </si>
  <si>
    <t>การจัดสรร</t>
  </si>
  <si>
    <t>เบิกจ่าย /</t>
  </si>
  <si>
    <t>ยอดเบิก</t>
  </si>
  <si>
    <t xml:space="preserve"> 2.1 ค่าจ้างเหมาบริการช่วยปฏิบัติงาน</t>
  </si>
  <si>
    <t>(3)</t>
  </si>
  <si>
    <t>(5)=(1)-(4)</t>
  </si>
  <si>
    <t>(4)= (2)+(3)</t>
  </si>
  <si>
    <t xml:space="preserve"> 2.ค่าน้ำประปา</t>
  </si>
  <si>
    <t xml:space="preserve">               - ฝบท.</t>
  </si>
  <si>
    <t xml:space="preserve">               - สพร.</t>
  </si>
  <si>
    <t xml:space="preserve">               - สพส.</t>
  </si>
  <si>
    <t xml:space="preserve">               - สสป.</t>
  </si>
  <si>
    <t xml:space="preserve">               - สกก.</t>
  </si>
  <si>
    <t xml:space="preserve">               - สพก.</t>
  </si>
  <si>
    <t xml:space="preserve">               - สทส.</t>
  </si>
  <si>
    <t xml:space="preserve">               - สภท.</t>
  </si>
  <si>
    <t xml:space="preserve">               - สปร.</t>
  </si>
  <si>
    <t xml:space="preserve">               - สปข.</t>
  </si>
  <si>
    <t xml:space="preserve">  1. โอนเปลี่ยนแปลงงบประมาณ</t>
  </si>
  <si>
    <t>ค่าใช้จ่าย</t>
  </si>
  <si>
    <t xml:space="preserve"> 2.2 ค่าจ้างเหมา พขร.</t>
  </si>
  <si>
    <t xml:space="preserve"> 2.3 ค่าจ้างทำความสะอาดสถานที่ทำงาน</t>
  </si>
  <si>
    <t>2.ค่าตอบแทนเกษตรกร</t>
  </si>
  <si>
    <t>เบิกจ่าย</t>
  </si>
  <si>
    <t>(เบิกจ่าย)</t>
  </si>
  <si>
    <t>รวมค่าใช้จ่าย</t>
  </si>
  <si>
    <t>1.งบดำเนินงาน</t>
  </si>
  <si>
    <t>ได้รับ</t>
  </si>
  <si>
    <t>รายการโอน</t>
  </si>
  <si>
    <t>โอน</t>
  </si>
  <si>
    <t>งปม.ได้รับ</t>
  </si>
  <si>
    <t>ปี พ.ศ.</t>
  </si>
  <si>
    <t>%</t>
  </si>
  <si>
    <t xml:space="preserve"> เห็นชอบ</t>
  </si>
  <si>
    <t xml:space="preserve">% </t>
  </si>
  <si>
    <t xml:space="preserve">  </t>
  </si>
  <si>
    <r>
      <t>ตารางที่ 2 สรุปค่าใช้จ่าย(</t>
    </r>
    <r>
      <rPr>
        <b/>
        <sz val="14"/>
        <rFont val="TH SarabunPSK"/>
        <family val="2"/>
      </rPr>
      <t>เฉพาะงบดำเนินงานและรายจ่ายอื่นที่เป็นงบดำเนินงาน</t>
    </r>
    <r>
      <rPr>
        <b/>
        <sz val="13"/>
        <rFont val="TH SarabunPSK"/>
        <family val="2"/>
      </rPr>
      <t xml:space="preserve">) แยกตามการจัดสรรให้ส่วน/ฝ่าย </t>
    </r>
  </si>
  <si>
    <t xml:space="preserve"> 1.1 ค่าบำรุงรักษาเครื่องคอมพิวเตอร์แม่ข่ายและอุปกรณ์</t>
  </si>
  <si>
    <t xml:space="preserve"> 1.2 ค่าจ้างกำจัดปลวก หนู</t>
  </si>
  <si>
    <t xml:space="preserve"> 1.3 ค่าจ้างรักษาความปลอดภัย</t>
  </si>
  <si>
    <t xml:space="preserve"> 1.4 ค่าเช่าเครื่องถ่ายเอกสาร</t>
  </si>
  <si>
    <t xml:space="preserve"> 1.5 ค่าน้ำดื่ม</t>
  </si>
  <si>
    <t>งบดำเนินงาน</t>
  </si>
  <si>
    <t>3.ค่าเบี้ยประชุมกรรมการ</t>
  </si>
  <si>
    <t>2.ค่าซ่อมแซมรถยนต์ราชการ</t>
  </si>
  <si>
    <t>3.ค่าซ่อมแซมครุภัณฑ์สำนักงาน</t>
  </si>
  <si>
    <t>4.ค่าซ่อมแซมครุภัณฑ์คอมพิวเตอร์</t>
  </si>
  <si>
    <t>1.ค่าวัสดุสำนักาน</t>
  </si>
  <si>
    <t>2.ค่าน้ำมันเชื้อเพลิงและหล่อลื่น</t>
  </si>
  <si>
    <t>2.ค่าน้ำมันเชื้อเพลิง/หล่อลื่น</t>
  </si>
  <si>
    <t>4.ค่าซ่อมครุภัณฑ์คอมฯ</t>
  </si>
  <si>
    <t>1.ค่าเบี้ยเลี้ยงที่พัก/พาหนะ</t>
  </si>
  <si>
    <t xml:space="preserve"> </t>
  </si>
  <si>
    <t>งบงาน</t>
  </si>
  <si>
    <t>สทส</t>
  </si>
  <si>
    <t>รายการผูกพัน</t>
  </si>
  <si>
    <t>รายจ่ายจริง</t>
  </si>
  <si>
    <t>5.ค่าจ้างเหมาบริการ-บุคคล</t>
  </si>
  <si>
    <t>6.ค่าจ้างพิมพ์หนังสือฯ</t>
  </si>
  <si>
    <t>7.คชจ.ในการอบรมสัมมนา</t>
  </si>
  <si>
    <t>8.ค่าอาหารว่างและเครื่องดื่ม</t>
  </si>
  <si>
    <t>7.ค่าใช้จ่ายในการอบรมสัมมนา</t>
  </si>
  <si>
    <t xml:space="preserve">6.ค่าจ้างพิมพ์หนังสือฯ </t>
  </si>
  <si>
    <t xml:space="preserve">                                                                       </t>
  </si>
  <si>
    <t>สรุปค่าใช้จ่าย(ปรับแผน)</t>
  </si>
  <si>
    <t>งบรายจ่ายอื่น</t>
  </si>
  <si>
    <t>ทะเบียน</t>
  </si>
  <si>
    <t>พัฒนาระบบ</t>
  </si>
  <si>
    <t>เชิงลึก</t>
  </si>
  <si>
    <t>รวม (ก่อน คชจ.โครงการ)</t>
  </si>
  <si>
    <t>รวมทั้งหมด</t>
  </si>
  <si>
    <t>โอนให้ สศท.</t>
  </si>
  <si>
    <t>ให้ สศท.</t>
  </si>
  <si>
    <t xml:space="preserve">  2. โอนให้ สศท.</t>
  </si>
  <si>
    <t>2. เงินโอนให้ สศท.</t>
  </si>
  <si>
    <t>IT</t>
  </si>
  <si>
    <t>เชิงลึกฯ</t>
  </si>
  <si>
    <t>Smart</t>
  </si>
  <si>
    <t>Zoning</t>
  </si>
  <si>
    <t>ค่าใช้จ่ายเบิกจ่ายแล้ว</t>
  </si>
  <si>
    <t>1 ต.ค. 58 - 22 ส.ค. 59</t>
  </si>
  <si>
    <t>23 - 31 ส.ค. 59</t>
  </si>
  <si>
    <t xml:space="preserve"> 1 -30 ก.ย. 59</t>
  </si>
  <si>
    <t>ประมาณการค่าใช้จ่าย 23 ส.ค. - 30 ก.ย. 59</t>
  </si>
  <si>
    <t>ประมาณการใช้จ่ายเงิน</t>
  </si>
  <si>
    <t>T/ฝ่ายบริหาร ศสส.(ห้ามลบ)/นก/ประมาณการ</t>
  </si>
  <si>
    <t xml:space="preserve"> 2.4 ค่าใช้จ่ายในการจัดอบรมสัมมนา(ศสส., ศสส.+สศท.)</t>
  </si>
  <si>
    <t>ค่าจ้างเหมาบริการ-บุคคล</t>
  </si>
  <si>
    <t xml:space="preserve"> 1. ค่า OT </t>
  </si>
  <si>
    <t>2. ค่าเบี้ยเลี้ยง ( ออก ตจว.)</t>
  </si>
  <si>
    <t xml:space="preserve"> *  ตารางแยก เบิกค่า OT จ้างเหมา  และค่าเบี้ยเลี้ยงของจ้างเหมา (พขร.จ้างเหมา และจ้างเหมาบุคคล) ของส่วน/ฝ่าย</t>
  </si>
  <si>
    <t>งบประมาณได้รับ ปี 2560</t>
  </si>
  <si>
    <t>งบประมาณคงเหลือหลังการโอน</t>
  </si>
  <si>
    <t xml:space="preserve">         ช่วย สศท. สำรวจ</t>
  </si>
  <si>
    <r>
      <rPr>
        <u/>
        <sz val="16"/>
        <rFont val="TH SarabunPSK"/>
        <family val="2"/>
      </rPr>
      <t>หัก</t>
    </r>
    <r>
      <rPr>
        <sz val="16"/>
        <rFont val="TH SarabunPSK"/>
        <family val="2"/>
      </rPr>
      <t xml:space="preserve">     โอนให้ สศท.</t>
    </r>
  </si>
  <si>
    <t>สรุปงบประมาณ ปี 2560 ของศูนย์สารสนเทศการเกษตร</t>
  </si>
  <si>
    <t xml:space="preserve">      - ค่าใช้จ่ายของส่วน/ฝ่าย</t>
  </si>
  <si>
    <t xml:space="preserve">      - ค่าใช้จ่ายบริหารส่วนกลาง</t>
  </si>
  <si>
    <t xml:space="preserve">      - ค่าสาธารณูปโภค</t>
  </si>
  <si>
    <t xml:space="preserve">      - จัดสรรให้ส่วน/ฝ่าย</t>
  </si>
  <si>
    <t xml:space="preserve">      - จัดสรรเป็นค่าใช้จ่ายในการบริหารส่วนกลาง</t>
  </si>
  <si>
    <t xml:space="preserve">      - จัดสรรเป็นค่าสาธารณูปโภค</t>
  </si>
  <si>
    <r>
      <rPr>
        <u/>
        <sz val="16"/>
        <rFont val="TH SarabunPSK"/>
        <family val="2"/>
      </rPr>
      <t>หัก</t>
    </r>
    <r>
      <rPr>
        <sz val="16"/>
        <rFont val="TH SarabunPSK"/>
        <family val="2"/>
      </rPr>
      <t xml:space="preserve"> ประมาณการค่าใช้จ่าย</t>
    </r>
  </si>
  <si>
    <t>งบประมาณคงเหลือหลังหัก คชจ.</t>
  </si>
  <si>
    <t>งบประมาณคงเหลือหลังหักประมาณการ คชจ.</t>
  </si>
  <si>
    <r>
      <rPr>
        <u/>
        <sz val="16"/>
        <rFont val="TH SarabunPSK"/>
        <family val="2"/>
      </rPr>
      <t>หัก</t>
    </r>
    <r>
      <rPr>
        <sz val="16"/>
        <rFont val="TH SarabunPSK"/>
        <family val="2"/>
      </rPr>
      <t xml:space="preserve">  ค่าใช้จ่ายที่เบิกจ่ายแล้ว </t>
    </r>
  </si>
  <si>
    <t>ส่วน/ฝ่าย</t>
  </si>
  <si>
    <t>ใช้จริง</t>
  </si>
  <si>
    <t>1. งานประจำ</t>
  </si>
  <si>
    <t xml:space="preserve">     - ฝบท.</t>
  </si>
  <si>
    <t xml:space="preserve">     - สพร.</t>
  </si>
  <si>
    <t xml:space="preserve">     - สพส.</t>
  </si>
  <si>
    <t xml:space="preserve">     - สสป.</t>
  </si>
  <si>
    <t xml:space="preserve">     - สภท.</t>
  </si>
  <si>
    <t xml:space="preserve">     - สทส.</t>
  </si>
  <si>
    <t xml:space="preserve">     - สกก.</t>
  </si>
  <si>
    <t xml:space="preserve">     - สปร.</t>
  </si>
  <si>
    <t xml:space="preserve">     - สพก.</t>
  </si>
  <si>
    <t xml:space="preserve">     - สปข.</t>
  </si>
  <si>
    <t xml:space="preserve">     - สพร.     </t>
  </si>
  <si>
    <t>เบิกจ่ายแล้ว</t>
  </si>
  <si>
    <t>งบประมาณโอน</t>
  </si>
  <si>
    <t>โอนครั้งที่ 1</t>
  </si>
  <si>
    <t>โอนครั้งที่ 2</t>
  </si>
  <si>
    <t>โอนครั้งที่ 3</t>
  </si>
  <si>
    <t>(4)</t>
  </si>
  <si>
    <t>(1)-(2)-(3)-(4)</t>
  </si>
  <si>
    <t>ให้ สศท. ทั้งหมด</t>
  </si>
  <si>
    <t>สศท.</t>
  </si>
  <si>
    <t>3. ค่าสาธารณูปโภค</t>
  </si>
  <si>
    <t xml:space="preserve"> (1) ค่าไฟฟ้า</t>
  </si>
  <si>
    <t xml:space="preserve"> (2) ค่าน้ำประปา</t>
  </si>
  <si>
    <t xml:space="preserve"> (3) ค่าโทรศัพท์</t>
  </si>
  <si>
    <t xml:space="preserve"> (4) ค่าไปรษณีย์</t>
  </si>
  <si>
    <t>แผนการใช้จ่าย งปม.</t>
  </si>
  <si>
    <t>งปม. ปี 2560</t>
  </si>
  <si>
    <t xml:space="preserve"> (7) อื่นๆ(ค่าโทรศัพท์รายเดือน/ค่าเช่ามือถือ)</t>
  </si>
  <si>
    <t>4. รายการผูกพันทั้งปี</t>
  </si>
  <si>
    <t xml:space="preserve"> (1) ค่าบำรุงรักษาเครื่องคอมพิวเตอร์แม่ข่าย</t>
  </si>
  <si>
    <t xml:space="preserve"> (2) ค่าจ้างกำจัดปลวก หนู</t>
  </si>
  <si>
    <t xml:space="preserve"> (3) ค่าจ้างรักษาความปลอดภัย</t>
  </si>
  <si>
    <t xml:space="preserve"> (4) ค่าเช่าเครื่องถ่ายเอกสาร</t>
  </si>
  <si>
    <t xml:space="preserve"> (5) ค่าน้ำดื่ม</t>
  </si>
  <si>
    <t xml:space="preserve"> (6) ค่าหนังสือพิมพ์</t>
  </si>
  <si>
    <t>5. ค่าใช้จ่ายส่วนกลาง</t>
  </si>
  <si>
    <t xml:space="preserve"> (2) ค่าจ้างเหมา พขร. 8 คน</t>
  </si>
  <si>
    <t xml:space="preserve"> (4) ค่าทางด่วน</t>
  </si>
  <si>
    <t xml:space="preserve"> (5) ค่าน้ำมันเชื้อเพลิง</t>
  </si>
  <si>
    <t xml:space="preserve"> (6) ค่าแก๊สรถยนต์</t>
  </si>
  <si>
    <t>2. ค่าใช้จ่ายในการจัดอบรม / สัมมนา</t>
  </si>
  <si>
    <t>6. ค่าวัสดุ หมึกพิมพ์คอมพิวเตอร์</t>
  </si>
  <si>
    <t>7. ค่าวัสดุสำนักงาน</t>
  </si>
  <si>
    <t>8. ช่วย สศท. สำรวจ</t>
  </si>
  <si>
    <t>8. ช่วย สศท. 1-12 สำรวจ</t>
  </si>
  <si>
    <t xml:space="preserve"> (5) ค่าเช่าสายสื่อสาร/อินเตอร์เน็ต สศท.1-12</t>
  </si>
  <si>
    <t xml:space="preserve"> (6) ค่าเช่าสายสื่อสาร/สำหรับKiosk</t>
  </si>
  <si>
    <t xml:space="preserve"> (3) ค่าจ้างทำความสะอาด 4 คน</t>
  </si>
  <si>
    <t xml:space="preserve"> (1) ค่าจ้างเหมาช่วยปฏิบัติงาน 36 คน</t>
  </si>
  <si>
    <t>2. ค่าใช้จ่ายในการอบรม/สัมมนา</t>
  </si>
  <si>
    <t>สศท. 1</t>
  </si>
  <si>
    <t>สศท. 2</t>
  </si>
  <si>
    <t>สศท. 3</t>
  </si>
  <si>
    <t>สศท. 4</t>
  </si>
  <si>
    <t>สศท. 5</t>
  </si>
  <si>
    <t>สศท. 6</t>
  </si>
  <si>
    <t>สศท. 7</t>
  </si>
  <si>
    <t>สศท. 8</t>
  </si>
  <si>
    <t>สศท. 9</t>
  </si>
  <si>
    <t>สศท. 10</t>
  </si>
  <si>
    <t>สศท. 11</t>
  </si>
  <si>
    <t>สศท. 12</t>
  </si>
  <si>
    <t>(1)-(3)</t>
  </si>
  <si>
    <t>(2)-(3)</t>
  </si>
  <si>
    <t>ตารางที่  1  สรุปการใช้จ่ายเงินงบประมาณ เปรียบเทียบกับแผนการใช้จ่ายเงิน ปีงบประมาณ 2560</t>
  </si>
  <si>
    <t>ตารางที่  2  รายละเอียดการใช้จ่ายเงินงบประมาณ เปรียบเทียบกับแผนการใช้จ่ายเงิน ปีงบประมาณ 2560</t>
  </si>
  <si>
    <t>ตารางที่  3  สรุปโอนเงินให้สำนักงานเศรษฐกิจการเกษตรที่ 1-12</t>
  </si>
  <si>
    <t>รวมงบประมาณ (เฉพาะส่วนกลาง)</t>
  </si>
  <si>
    <t>(1) รวมงบประมาณ (เฉพาะส่วนกลาง)</t>
  </si>
  <si>
    <t>(2) รวมงบประมาณโอนให้ สศท. 1-12</t>
  </si>
  <si>
    <t xml:space="preserve"> -โอนเงินให้ สศท. 1-12</t>
  </si>
  <si>
    <t>**รายละเอียดตามตารางที่ 3</t>
  </si>
  <si>
    <t xml:space="preserve">      **รายละเอียดตามตารางที่ 2</t>
  </si>
  <si>
    <t>j</t>
  </si>
  <si>
    <t>k</t>
  </si>
  <si>
    <t>l</t>
  </si>
  <si>
    <r>
      <t>j</t>
    </r>
    <r>
      <rPr>
        <sz val="15"/>
        <rFont val="Calibri"/>
        <family val="2"/>
      </rPr>
      <t>-</t>
    </r>
    <r>
      <rPr>
        <sz val="15"/>
        <rFont val="Wingdings 2"/>
        <family val="1"/>
        <charset val="2"/>
      </rPr>
      <t>l</t>
    </r>
  </si>
  <si>
    <r>
      <rPr>
        <sz val="15"/>
        <rFont val="Wingdings 2"/>
        <family val="1"/>
        <charset val="2"/>
      </rPr>
      <t>k</t>
    </r>
    <r>
      <rPr>
        <sz val="15"/>
        <rFont val="Calibri"/>
        <family val="2"/>
      </rPr>
      <t>-</t>
    </r>
    <r>
      <rPr>
        <sz val="15"/>
        <rFont val="Wingdings 2"/>
        <family val="1"/>
        <charset val="2"/>
      </rPr>
      <t>l</t>
    </r>
  </si>
  <si>
    <t>เลื่อนไปเดือน ม.ค.60</t>
  </si>
  <si>
    <t>งบประมาณได้รับ (งบดำเนินงาน)</t>
  </si>
  <si>
    <t xml:space="preserve">      ประมาณการค่าใช้จ่ายส่วน/ฝ่าย</t>
  </si>
  <si>
    <t xml:space="preserve">      ค่าใช้จ่ายส่วนกลาง</t>
  </si>
  <si>
    <t xml:space="preserve">      ค่าสาธารณูปโภค</t>
  </si>
  <si>
    <t xml:space="preserve">      ช่วย สศท. สำรวจ</t>
  </si>
  <si>
    <r>
      <rPr>
        <b/>
        <u/>
        <sz val="14"/>
        <rFont val="TH SarabunPSK"/>
        <family val="2"/>
      </rPr>
      <t>หัก</t>
    </r>
    <r>
      <rPr>
        <sz val="14"/>
        <rFont val="TH SarabunPSK"/>
        <family val="2"/>
      </rPr>
      <t xml:space="preserve">  โอนให้ สศท. 1-12</t>
    </r>
  </si>
  <si>
    <t>สรุปภาพรวม : งบดำเนินงานของศูนย์สารสนเทศการเกษตร ปีงบประมาณ 2560</t>
  </si>
  <si>
    <t>ต.ค.59-ก.ย. 60</t>
  </si>
  <si>
    <r>
      <t xml:space="preserve">     - สภท.</t>
    </r>
    <r>
      <rPr>
        <sz val="12"/>
        <rFont val="TH SarabunPSK"/>
        <family val="2"/>
      </rPr>
      <t>(รวมค่าวัสดุวิทยาศาสตร์ 300,000)</t>
    </r>
  </si>
  <si>
    <t xml:space="preserve">รวม (1 )+( 2) </t>
  </si>
  <si>
    <t>(ปรับเป็นตัวกลมๆโอนจริง)</t>
  </si>
  <si>
    <t xml:space="preserve"> ต.ค. 59-มี.ค. 60</t>
  </si>
  <si>
    <t>3. ตัดเงินให้งบบริหารส่วนกลาง</t>
  </si>
  <si>
    <t>4.โอนเปลี่ยนแปลงงบ</t>
  </si>
  <si>
    <t>5. งบประมาณได้รับหลังการโอน</t>
  </si>
  <si>
    <t xml:space="preserve">                       - สพร</t>
  </si>
  <si>
    <t xml:space="preserve">                       - สพส.</t>
  </si>
  <si>
    <t>โอนให้ สศท. สำรวจ</t>
  </si>
  <si>
    <t xml:space="preserve"> 2.5 ซ่อมแซมห้องทำงาน</t>
  </si>
  <si>
    <t xml:space="preserve"> 2.6 เงินสมทบกองทุนประกันสังคม(พรก.)</t>
  </si>
  <si>
    <t xml:space="preserve">                       - สสป.  </t>
  </si>
  <si>
    <t xml:space="preserve">                       - สภท.</t>
  </si>
  <si>
    <t xml:space="preserve">                       - สกก.</t>
  </si>
  <si>
    <t>โอนเงินคืนเจ้าภาพ</t>
  </si>
  <si>
    <t>ตารางที่ 7 รายละเอียดค่าใช้จ่ายจัดประชุมระหว่างประเทศ</t>
  </si>
  <si>
    <t>รวมโอนเงินให้ สศท. (เฉพาะงานสำรวจ)</t>
  </si>
  <si>
    <t>2.งบรายจ่ายอื่น (ใช้ในงานสำรวจ)</t>
  </si>
  <si>
    <t>3.งบรายจ่ายอื่น (ไม่ได้ใช้สำรวจ)</t>
  </si>
  <si>
    <t>4.งบลงทุน</t>
  </si>
  <si>
    <t>4/3/62</t>
  </si>
  <si>
    <t xml:space="preserve"> 6.ค่าเช่าสายสื่อสารและบริการอินเตอร์เนทสำหรับ Kiosk</t>
  </si>
  <si>
    <t>ผอ.ศสส. / ผชช.</t>
  </si>
  <si>
    <t xml:space="preserve">    5.1 จัดสรรให้ส่วน/ฝ่าย</t>
  </si>
  <si>
    <t xml:space="preserve">    5.2 จัดสรรเพื่อการบริหาร</t>
  </si>
  <si>
    <t xml:space="preserve">    5.3 จัดสรรเป็นค่าสาธารณูปโภค</t>
  </si>
  <si>
    <t xml:space="preserve">     1. งบดำเนินงาน</t>
  </si>
  <si>
    <t xml:space="preserve">     2. งบรายจ่ายอื่น</t>
  </si>
  <si>
    <t xml:space="preserve">        2.1  ค.เชิงลึก</t>
  </si>
  <si>
    <t xml:space="preserve">       2.2  ค.ต้นทุน</t>
  </si>
  <si>
    <t xml:space="preserve">  2.1 ค.เชิงลึกฯ</t>
  </si>
  <si>
    <t xml:space="preserve">  2.2 ค.ต้นทุน</t>
  </si>
  <si>
    <t xml:space="preserve">  2.3 ค.SOCIO</t>
  </si>
  <si>
    <t xml:space="preserve">  3.1 ศูนย์เรียนรู้ 882 ศูนย์</t>
  </si>
  <si>
    <t xml:space="preserve">  3.2 จัดประชุมระหว่างประเทศ</t>
  </si>
  <si>
    <t xml:space="preserve">  3.3 ค่าใช้จ่ายในการเดินทางไป ตปท.</t>
  </si>
  <si>
    <t xml:space="preserve">  3.4 ข้อมูลขนาดใหญ่ฯ (จ้างที่ปรึกษา)</t>
  </si>
  <si>
    <t xml:space="preserve">  4.1 ครุภัณฑ์สำนักงาน (แอร์ ตู้เหล็ก)</t>
  </si>
  <si>
    <t xml:space="preserve">  4.4 ค.จัดหาชุดโปรแกรมจัดการฐานฯ</t>
  </si>
  <si>
    <t xml:space="preserve">  4.5 เพิ่มประสิทธิภาพระบบข้อมูลฯ</t>
  </si>
  <si>
    <t xml:space="preserve">  4.6 SOCIO</t>
  </si>
  <si>
    <t xml:space="preserve">  4.7 ชุดโปรแกรมวิเคราะห์ข้อมูลทางสถิติ</t>
  </si>
  <si>
    <t xml:space="preserve">  3.5 ค.สารสนเทศฯ ระดับจังหวัด</t>
  </si>
  <si>
    <t xml:space="preserve">  3.6 ค.Agri-Map</t>
  </si>
  <si>
    <t xml:space="preserve">      2.3  ค.socio</t>
  </si>
  <si>
    <t>ยอดคงเหลือจริง</t>
  </si>
  <si>
    <t>ชะลอการเบิกจ่าย</t>
  </si>
  <si>
    <t xml:space="preserve">    5.6 เงินคงเหลือ</t>
  </si>
  <si>
    <t>งบประมาณได้รับ</t>
  </si>
  <si>
    <t>ตารางที่ 10 รายละเอียดค่าใช้จ่ายจัดประชุมระหว่างประเทศ</t>
  </si>
  <si>
    <t xml:space="preserve">โอนให้ </t>
  </si>
  <si>
    <t xml:space="preserve">  2.4 ค.Crop Cutting</t>
  </si>
  <si>
    <t xml:space="preserve">  4.2 ค.พัฒนาระบบการรักษาความปลอดภัย(Cyber Security)</t>
  </si>
  <si>
    <t xml:space="preserve">รวมงบประมาณได้รับทั้งสิ้น </t>
  </si>
  <si>
    <t>หัก  25%</t>
  </si>
  <si>
    <t>ดำเนินงาน</t>
  </si>
  <si>
    <t>พขร.</t>
  </si>
  <si>
    <t>แม่บ้าน</t>
  </si>
  <si>
    <t xml:space="preserve">                                        2.4  ค.Crop Cutting</t>
  </si>
  <si>
    <t xml:space="preserve">                                        2.5 ค.จัดทำสารสนเทศระดับจัหวัด</t>
  </si>
  <si>
    <t>งบ ศสส. 64</t>
  </si>
  <si>
    <t>หัก 25%</t>
  </si>
  <si>
    <t>คงเหลือสุทธิ</t>
  </si>
  <si>
    <t>รับโอนงวดที่ 1</t>
  </si>
  <si>
    <t>งบประมาณทั้งปี</t>
  </si>
  <si>
    <t>รับโอนจาก กนผ.</t>
  </si>
  <si>
    <t>ตารางที่ 1 สรุปค่าใช้จ่ายงบประมาณ ปี 2564 แยกตามงบ (หลังหักเงินกัน 25 %)</t>
  </si>
  <si>
    <t xml:space="preserve"> งบดำเนินงาน / งานสถิติ</t>
  </si>
  <si>
    <t>สทส.ใช้ส่วนเดียว</t>
  </si>
  <si>
    <t>โอนให้ สศท.ทั้งจำนวน</t>
  </si>
  <si>
    <t>2.ค่าเบี้ยประชุมกรรมการ</t>
  </si>
  <si>
    <t>2ค่าเบี้ยประชุมกรรมการ</t>
  </si>
  <si>
    <t>3.ค่าเบี้ยเลี้ยงที่พักและพาหนะ</t>
  </si>
  <si>
    <t>4.ค่าซ่อมแซมรถยนต์ราชการ</t>
  </si>
  <si>
    <t>5.ค่าซ่อมแซมครุภัณฑ์สำนักงาน</t>
  </si>
  <si>
    <t>6.ค่าซ่อมแซมครุภัณฑ์คอมพิวเตอร์</t>
  </si>
  <si>
    <t>7.ค่าจ้างเหมาบริการ</t>
  </si>
  <si>
    <t>8.ค่าจ้างพิมพ์หนังสือฯ</t>
  </si>
  <si>
    <t>9.ค่าใช้จ่ายในการอบรมสัมมนา</t>
  </si>
  <si>
    <t>10.ค่าอาหารว่างและเครื่องดิ่ม</t>
  </si>
  <si>
    <t>11.ค่าวัสดุสำนักงาน</t>
  </si>
  <si>
    <t>12.ค่าน้ำมันเชื้อเพลิงและหล่อลื่น</t>
  </si>
  <si>
    <t>13.ค่าวัสดุวิทยาศาสตร์</t>
  </si>
  <si>
    <t>14.ค่าวัสดุคอมพิวเตอร์</t>
  </si>
  <si>
    <t>สพส. ใช้</t>
  </si>
  <si>
    <t>3.ค่าเบี้ยเลี้ยงที่พัก/พาหนะ</t>
  </si>
  <si>
    <t>5.ค่าซ่อมครุภัณฑ์สำนักงาน</t>
  </si>
  <si>
    <t>6.ค่าซ่อมครุภัณฑ์คอมฯ</t>
  </si>
  <si>
    <t>7.ค่าจ้างเหมาบริการ-บุคคล</t>
  </si>
  <si>
    <t>9.คชจ.ในการอบรมสัมมนา</t>
  </si>
  <si>
    <t>10.ค่าอาหารว่างและเครื่องดื่ม</t>
  </si>
  <si>
    <t xml:space="preserve"> 2.4 ค่าทางด่วน</t>
  </si>
  <si>
    <t xml:space="preserve"> 2.5 น้ำมันเชื้อเพลิงฯ</t>
  </si>
  <si>
    <t xml:space="preserve"> 6.อื่นๆ(ค่าบริการโทรศัพท์รายเดือน/ค่าเช่ามือถือ)</t>
  </si>
  <si>
    <t xml:space="preserve"> 7.ค่าเคเบิ้ลทีวี</t>
  </si>
  <si>
    <t>จ้างเหมา (6 เดือนแรก)</t>
  </si>
  <si>
    <t>รับโอนงวดแรก</t>
  </si>
  <si>
    <t>โอนให้ สศท. 1</t>
  </si>
  <si>
    <t>โอนให้ สศท. 2</t>
  </si>
  <si>
    <t>รับโอนงวดที่ 2</t>
  </si>
  <si>
    <t>ยอดยอกมาจากงวดที่ 1</t>
  </si>
  <si>
    <t>สกก.ใช้</t>
  </si>
  <si>
    <t>โอนให้ สศท.ค. 1</t>
  </si>
  <si>
    <t>โอนให้ สศท.ค.2</t>
  </si>
  <si>
    <t xml:space="preserve"> ณ วันที่ </t>
  </si>
  <si>
    <r>
      <t xml:space="preserve">1. งบประมาณได้รับ
  </t>
    </r>
    <r>
      <rPr>
        <sz val="12"/>
        <rFont val="TH SarabunPSK"/>
        <family val="2"/>
      </rPr>
      <t>(หลังหักเงินกัน 25%)</t>
    </r>
  </si>
  <si>
    <t xml:space="preserve">    5.4 ส่วนกลาง 
  (ผอ. ศสส./ผชช./งานเร่งด่วน)</t>
  </si>
  <si>
    <t>งบ Q1-Q3</t>
  </si>
  <si>
    <r>
      <t xml:space="preserve">งบประมาณได้รับจัดสรร Q1 - Q 3 </t>
    </r>
    <r>
      <rPr>
        <b/>
        <sz val="12"/>
        <rFont val="TH SarabunPSK"/>
        <family val="2"/>
      </rPr>
      <t>(ยอดใช้ได้จริง)</t>
    </r>
  </si>
  <si>
    <t>ได้รับจริง 75%</t>
  </si>
  <si>
    <t>Q1-Q4 =100%</t>
  </si>
  <si>
    <t>Q1-Q3 =75%</t>
  </si>
  <si>
    <t>โอนให้ สศท. 75%</t>
  </si>
  <si>
    <t>โอนให้ ศปผ. 75%</t>
  </si>
  <si>
    <t xml:space="preserve">  4.1 ค.Cyber Security</t>
  </si>
  <si>
    <t xml:space="preserve">  4.2 ค.จัดหาครุภัณฑ์คอมฯ</t>
  </si>
  <si>
    <t xml:space="preserve">  3.4 ค.สารสนเทศฯ ระดับจังหวัด</t>
  </si>
  <si>
    <t xml:space="preserve">  3.5 ค.Agri-Map</t>
  </si>
  <si>
    <t xml:space="preserve">  3.6 ค.วิจัยแปรรูปสับปะรดฯ</t>
  </si>
  <si>
    <t>Crop Cutting</t>
  </si>
  <si>
    <t>ดำเนินงาน 462,317 เชิงลึก 43,908</t>
  </si>
  <si>
    <t>ดำเนินงาน 177,180 ต้นทุน 20,000</t>
  </si>
  <si>
    <t>ดำเนินงาน 109,200 socio 246,040</t>
  </si>
  <si>
    <t>ดำเนินงาน 262,680 ต้นทุน 185,800</t>
  </si>
  <si>
    <t>โครงการ</t>
  </si>
  <si>
    <t>- ฝบท.</t>
  </si>
  <si>
    <t xml:space="preserve"> - สพร.</t>
  </si>
  <si>
    <t>- สพส.</t>
  </si>
  <si>
    <t xml:space="preserve"> - สสป.</t>
  </si>
  <si>
    <t>- สภท.</t>
  </si>
  <si>
    <t>- สทส.</t>
  </si>
  <si>
    <t>- สกก.</t>
  </si>
  <si>
    <t>- สปร.</t>
  </si>
  <si>
    <t>- สพก.</t>
  </si>
  <si>
    <t xml:space="preserve"> - สปข.</t>
  </si>
  <si>
    <t xml:space="preserve">  (ผอ. ศสส./ผชช./งานเร่งด่วน)</t>
  </si>
  <si>
    <t>งบดำเนินงาน 371,172 ระดับจังหวัด 254,921</t>
  </si>
  <si>
    <t xml:space="preserve"> ยอดที่ ส่วน/ฝ่าย สามารถใช้ได้ตั้งแต่ ตุลาคม 63 -มิถุนายน 64 (ห้ามใช้เกินยอดนี้)</t>
  </si>
  <si>
    <t>ประมาณการยอดคงเหลือที่สามารถใช้ได้</t>
  </si>
  <si>
    <t>ใช้งบดำเนิงานเกิน</t>
  </si>
  <si>
    <t>ใช้งบต้นทุนเกิน 3,205 (ไปหักจากงบดำเนินงาน)</t>
  </si>
  <si>
    <t>ตารางที่ 3 สรุปยอดการใช้จ่ายและยอดคงเหลือของส่วน/ฝ่าย</t>
  </si>
  <si>
    <t>แผนการใช้จ่ายงบประมาณ</t>
  </si>
  <si>
    <t>ยอดคงเหลือ</t>
  </si>
  <si>
    <t xml:space="preserve">  ผู้บริหาร ศสส.
(ผอ. ศสส./ผชช./งานเร่งด่วน)</t>
  </si>
  <si>
    <t>งบประมาณได้รับทั้งสิ้น</t>
  </si>
  <si>
    <t>ตารางที่ 3 สรุปผลการเบิก-จ่ายงบประมาณและยอดคงเหลือ ส่วน/ฝ่าย</t>
  </si>
  <si>
    <t>ผลการเบิก-จ่ายงบประมาณ</t>
  </si>
  <si>
    <t xml:space="preserve">  4.1 ค.พัฒนาระบบการรักษาความปลอดภัย(Cyber Security)</t>
  </si>
  <si>
    <t xml:space="preserve">  4.2 ค. แพลตฟอร์ม</t>
  </si>
  <si>
    <t xml:space="preserve">  4.3 ค.ประยุกต์ใช้เทคโนโลยีฯ</t>
  </si>
  <si>
    <t xml:space="preserve">  4.4 เพิ่มประสิทธิภาพระบบข้อมูลฯ</t>
  </si>
  <si>
    <t xml:space="preserve">  4.5 SOCIO</t>
  </si>
  <si>
    <t xml:space="preserve">  4.6 ชุดโปรแกรมวิเคราะห์ข้อมูลทางสถิติ</t>
  </si>
  <si>
    <t>11.ค่าโทรศัพท์เคลื่อนที่</t>
  </si>
  <si>
    <t>12.ค่าวัสดุสำนักงาน</t>
  </si>
  <si>
    <t>13.ค่าน้ำมันเชื้อเพลิงและหล่อลื่น</t>
  </si>
  <si>
    <t>14.ค่าวัสดุวิทยาศาสตร์</t>
  </si>
  <si>
    <t>15.ค่าวัสดุคอมพิวเตอร์</t>
  </si>
  <si>
    <t xml:space="preserve">ป.ตรี </t>
  </si>
  <si>
    <t>ต่ำกว่า</t>
  </si>
  <si>
    <t>ทั้งปี</t>
  </si>
  <si>
    <t>รวม / เดือน</t>
  </si>
  <si>
    <t>หัก จ้างงบต้นทุน 9 เดือน 11,000x9</t>
  </si>
  <si>
    <t>คงเหลือที่จ่ายจากงบดำเนินงาน</t>
  </si>
  <si>
    <t>9000/เดือน</t>
  </si>
  <si>
    <t xml:space="preserve">  2.6 ค.Agri Map</t>
  </si>
  <si>
    <t>สรุปค่าใช้จ่าย</t>
  </si>
  <si>
    <t xml:space="preserve">  2.5 ค.สารสนเทศเพื่อเพิ่มศักยภาพฯ</t>
  </si>
  <si>
    <t>16. ค.จัดหาอุปกรณ์สำหรับจัดเก็บข้อมูลฯ</t>
  </si>
  <si>
    <t>17.ค.พัฒนาระบบประมวลผลภาวะเศรษฐกิจฯ</t>
  </si>
  <si>
    <t>18. เพิ่มประสิทธิภาพระบบข้อมูลฯ</t>
  </si>
  <si>
    <t>19. ชุดโปรแกรมวิเคราะห์ข้อมูลทางสถิติ</t>
  </si>
  <si>
    <t>16. ค่าจัดซื้อครุภัณฑ์คอมพิวเตอร์</t>
  </si>
  <si>
    <t xml:space="preserve"> 2.6 ซ่อมแซมสำนักงาน ศสส.</t>
  </si>
  <si>
    <t>งบประมาณ (ได้รับมาแล้ว)</t>
  </si>
  <si>
    <t>รายการรับ</t>
  </si>
  <si>
    <t>โอนให้ สศท. 1,2,3,4</t>
  </si>
  <si>
    <t>ผลเบิกจ่าย</t>
  </si>
  <si>
    <t>ได้รับจัดสรรงวดที่ 1,2</t>
  </si>
  <si>
    <r>
      <rPr>
        <b/>
        <u/>
        <sz val="14"/>
        <rFont val="TH SarabunPSK"/>
        <family val="2"/>
      </rPr>
      <t>หัก</t>
    </r>
    <r>
      <rPr>
        <b/>
        <sz val="14"/>
        <rFont val="TH SarabunPSK"/>
        <family val="2"/>
      </rPr>
      <t xml:space="preserve"> รายการจ่าย</t>
    </r>
  </si>
  <si>
    <t>งบประมาณ (ภาพรวมทั้งปี)</t>
  </si>
  <si>
    <t xml:space="preserve">ประมาณการได้รับ </t>
  </si>
  <si>
    <t>(สามารถใช้ได้)</t>
  </si>
  <si>
    <t>สพส. 1,287/สศท.99</t>
  </si>
  <si>
    <t xml:space="preserve">หมายเหตุ </t>
  </si>
  <si>
    <t>สพร. 77,660</t>
  </si>
  <si>
    <t>(แผนใช้จ่าย Q4 จ้างเหมา 3 เดือน ก.ค. - กย. 80,400) สสป. 25,000 งบทั้งหมด หักรับโอน 2 งวด คงเหลือ 438500 (1756900-1318400 =438500) รับโอนงวดที่ 3 คือ 438500 และหักโอนให้เขต 378005 (438500-378005=60495) สรุปคงเหลือทั้งหมด 84312+60495 = 144807 หักแผน สสป และจ้างเหมาร Q4 (144807-80400-2500 คงเหลือ 39,407)</t>
  </si>
  <si>
    <t>แผนการเบิกจ่ายเงินงบประมาณ งบดำเนินงาน  ไตรมาส 3 และ 4</t>
  </si>
  <si>
    <t>งบประมาณที่จะได้รับจัดสรรทั้งปี</t>
  </si>
  <si>
    <t>งบประมาณที่ได้รับจัดสรรมาแล้ว</t>
  </si>
  <si>
    <t>งบประมาณได้รับจัดสรรทั้งปี</t>
  </si>
  <si>
    <t>ได้รับจัดสรรงวดที่ 1 ร้อยละ 50</t>
  </si>
  <si>
    <t xml:space="preserve">     หัก กันผู้บริหาร ร้อยละ 25</t>
  </si>
  <si>
    <t>ได้รับจัดสรรงวดที่ 2 ร้อยละ 25</t>
  </si>
  <si>
    <t>คงเหลือหลังหักกันผู้บริหาร</t>
  </si>
  <si>
    <t>ได้รับการสนับสนุนจากส่วนกลาง ค่า MA</t>
  </si>
  <si>
    <t>ได้รับการสนับสนุนจากส่วนกลาง รธก. วินิต</t>
  </si>
  <si>
    <t>รวมยอดงบประมาณที่ได้รับแล้ว</t>
  </si>
  <si>
    <t xml:space="preserve">ได้รับการสนับสนุนจากส่วนกลาง ค่า ศกอ. </t>
  </si>
  <si>
    <t xml:space="preserve">     โอนให้ สศท. ครั้งที่ 2</t>
  </si>
  <si>
    <t>รวมยอดงบประมาณที่จะได้รับ</t>
  </si>
  <si>
    <t xml:space="preserve">     ผลเบิกจ่าย </t>
  </si>
  <si>
    <t>หัก ประมาณการค่าใช้จ่ายทั้งปี</t>
  </si>
  <si>
    <t xml:space="preserve">     P/O/ เห็นชอบ </t>
  </si>
  <si>
    <t xml:space="preserve">     โอนให้ สศท. </t>
  </si>
  <si>
    <t xml:space="preserve">     ประมาณการค่าใช้จ่ายส่วน/ฝ่าย</t>
  </si>
  <si>
    <t>คงเหลือหลังหัก ค่าใช้จ่ายแล้ว</t>
  </si>
  <si>
    <t>เงินที่ได้รับจัดสรร</t>
  </si>
  <si>
    <t>P/O / เห็นชอบ</t>
  </si>
  <si>
    <t>แผนการใช้จ่าย</t>
  </si>
  <si>
    <t>เม.ย.</t>
  </si>
  <si>
    <t>พ.ค.</t>
  </si>
  <si>
    <t>มิ.ย.</t>
  </si>
  <si>
    <t>ก.ค.</t>
  </si>
  <si>
    <t>ส.ค.</t>
  </si>
  <si>
    <t xml:space="preserve">ก.ย. </t>
  </si>
  <si>
    <t>หลัง ก.ย.</t>
  </si>
  <si>
    <t>รายการจัดสรรเพื่อการบริหาร</t>
  </si>
  <si>
    <t>1. รายการผูกพัน(สัญญาทั้งปี)</t>
  </si>
  <si>
    <t xml:space="preserve"> 1.1 MA</t>
  </si>
  <si>
    <t>2. รายการใช้จ่ายส่วนกลาง</t>
  </si>
  <si>
    <t>หักเงิน ฝบท.</t>
  </si>
  <si>
    <t>รายการค่าสาธาณูปโภค</t>
  </si>
  <si>
    <t xml:space="preserve"> 1. ค่าไฟฟ้า</t>
  </si>
  <si>
    <t xml:space="preserve"> 2. ค่าน้ำประปา</t>
  </si>
  <si>
    <t xml:space="preserve"> 3. ค่าโทรศัพท์</t>
  </si>
  <si>
    <t xml:space="preserve"> 4. ค่าไปรษณีย์</t>
  </si>
  <si>
    <t xml:space="preserve"> 5. ค่าเช่าสายสื่อสาร/บริการอินเตอร์เนท สศท.1-12</t>
  </si>
  <si>
    <t xml:space="preserve"> 6. อื่นๆ(ค่าบริการโทรศัพท์รายเดือน/ค่าเช่ามือถือ ผอ.)</t>
  </si>
  <si>
    <t xml:space="preserve"> 7. ค่าเคเบิ้ลทีวี</t>
  </si>
  <si>
    <t>รายการค่าใช้จ่ายส่วน/ฝ่าย</t>
  </si>
  <si>
    <t xml:space="preserve"> 1. ผอ.ศสส./งานเร่งด่วน/หมึกพิมพ์ผู้บริหาร</t>
  </si>
  <si>
    <t xml:space="preserve"> 2. ฝบท.</t>
  </si>
  <si>
    <t xml:space="preserve"> 3. สพร.</t>
  </si>
  <si>
    <t xml:space="preserve"> 4. สพส.</t>
  </si>
  <si>
    <t xml:space="preserve"> 5. สสป.</t>
  </si>
  <si>
    <t xml:space="preserve"> 6. สภท.</t>
  </si>
  <si>
    <t xml:space="preserve"> 7. สทส.</t>
  </si>
  <si>
    <t xml:space="preserve"> 8. สกก</t>
  </si>
  <si>
    <t>9. สปร.</t>
  </si>
  <si>
    <t>10. สพก.</t>
  </si>
  <si>
    <t>11. สปข.</t>
  </si>
  <si>
    <t xml:space="preserve">     คชจ. บริหารส่วนกลางและส่วน/ฝ่าย</t>
  </si>
  <si>
    <t>ได้รับการสนับสนุนจากส่วนกลาง ค่า ศกอ. 2 เดิอน</t>
  </si>
  <si>
    <t>ได้รับการสนับสนุนจากส่วนกลาง ค่า MA 9 เดือน</t>
  </si>
  <si>
    <t xml:space="preserve">     โอนให้ สศท. ครั้งที่ 3</t>
  </si>
  <si>
    <t xml:space="preserve">     โอนให้ สศท. ครั้งที่ 4</t>
  </si>
  <si>
    <t xml:space="preserve">     โอนให้ สศท. ครั้งที่ 1</t>
  </si>
  <si>
    <t>หัก  ค่าใช้จ่าย</t>
  </si>
  <si>
    <t xml:space="preserve"> 2.6 ค่าซ่อมแซมรถราชการ (หักเงิน ฝบท.)</t>
  </si>
  <si>
    <t xml:space="preserve"> 2.7 ค่าซ่อมแซมอาคาร ศสส.</t>
  </si>
  <si>
    <t>ศสส.สามารถใช้งบประมาณได้ทั้งหมด</t>
  </si>
  <si>
    <t>ผลการใช้จ่าย</t>
  </si>
  <si>
    <t>ผลเบิกจ่ายสะสม
 (ต.ค. 64-มี.ค. 65)</t>
  </si>
  <si>
    <t>ผลเบิกจ่าย (ต.ค. 64-มี.ค. 65)</t>
  </si>
  <si>
    <t xml:space="preserve">ผลการใช้จ่าย </t>
  </si>
  <si>
    <t>สะสม 
(ต.ค. 64-เม.ย.65)</t>
  </si>
  <si>
    <t>หักค่าซ่อมรถออก 296000</t>
  </si>
  <si>
    <t>ตารางที่ 1 สรุปรายละเอียดการรับงบประมาณ และ การจ่ายงบประมาณ</t>
  </si>
  <si>
    <t>ตารางที่ 1 (ต่อ) สรุปแผน - ผลการใช้จ่ายงบประมาณ ระหว่างเดือนเมษายน - กันยายน 65</t>
  </si>
  <si>
    <t>ตารางที่ 2 สรุปค่าใช้จ่ายงบประมาณ ปี 2565 (ตามงบประมาณที่ได้รับจัดสรรมาแล้ว)</t>
  </si>
  <si>
    <r>
      <t>ตารางที่ 4 สรุปค่าใช้จ่าย (</t>
    </r>
    <r>
      <rPr>
        <b/>
        <sz val="14"/>
        <rFont val="TH SarabunPSK"/>
        <family val="2"/>
      </rPr>
      <t>เฉพาะงบดำเนินงานและรายจ่ายอื่นที่เป็นงบดำเนินงาน</t>
    </r>
    <r>
      <rPr>
        <b/>
        <sz val="13"/>
        <rFont val="TH SarabunPSK"/>
        <family val="2"/>
      </rPr>
      <t xml:space="preserve">) แยกตามการจัดสรรให้ส่วน/ฝ่าย </t>
    </r>
  </si>
  <si>
    <t>ได้รับการสนับสนุนเพิ่ม/โอนเปลี่ยนแปลง</t>
  </si>
  <si>
    <t>โอน ให้ สศท./โอนเปลี่ยนแปลง</t>
  </si>
  <si>
    <t>พ.ค. 65</t>
  </si>
  <si>
    <t>-</t>
  </si>
  <si>
    <t>สสป. 84,312/สปร. 7,212</t>
  </si>
  <si>
    <t>สกก. 3,194</t>
  </si>
  <si>
    <t>สพก. 35,982</t>
  </si>
  <si>
    <t>ณ 6 มิถุนายน 65</t>
  </si>
  <si>
    <t>มิ.ย. 65</t>
  </si>
  <si>
    <t>17.ก.จัดหาอุปกรณ์หน่วยความจำหลัก (RAM) สำหรับเครื่องคอมพิวเตอร์แม่ข่ายเสมือน จำนวน 18 ตัว</t>
  </si>
  <si>
    <t>สะสม 
(ต.ค.64-มิ.ย. 65)</t>
  </si>
  <si>
    <t>เงินงบประมาณได้ทรับทั้งสิ้น</t>
  </si>
  <si>
    <t>หัก แผนใช้จ่าย</t>
  </si>
  <si>
    <t>เงิน คงเหลือ</t>
  </si>
  <si>
    <t>หักใช้จ่ายจริง</t>
  </si>
  <si>
    <t>คงเหลือ (ยังไม่ได้ใช้จ่าย)</t>
  </si>
  <si>
    <t>แผน+ใชไป</t>
  </si>
  <si>
    <t>ผลต่าง</t>
  </si>
  <si>
    <t>รวมแผน Q4</t>
  </si>
  <si>
    <t xml:space="preserve">รวม
Q3-4
</t>
  </si>
  <si>
    <t>เงินคงเหลือสุทธิ</t>
  </si>
  <si>
    <t xml:space="preserve">
เม.ย.-มิ.ย.</t>
  </si>
  <si>
    <t xml:space="preserve"> แผนการใช้จ่ายเงิน ไตรมาสที่ 4 ปีงบประมาณ 2565 ของส่วน ศสส (งบดำเนินงาน)</t>
  </si>
  <si>
    <t>1. ผู้บริหาร ศสส.</t>
  </si>
  <si>
    <t>2. ฝบท.</t>
  </si>
  <si>
    <t>3. สปข.</t>
  </si>
  <si>
    <t>4. สพส.</t>
  </si>
  <si>
    <t>5. สกก.</t>
  </si>
  <si>
    <t>6. สปร.</t>
  </si>
  <si>
    <t>7. สพก.</t>
  </si>
  <si>
    <t>8. สพร.</t>
  </si>
  <si>
    <t>9. สสป.</t>
  </si>
  <si>
    <t>10. สภท.</t>
  </si>
  <si>
    <t>11. สทส.</t>
  </si>
  <si>
    <t xml:space="preserve"> ต.ค.64</t>
  </si>
  <si>
    <t xml:space="preserve"> พ.ย.64</t>
  </si>
  <si>
    <t xml:space="preserve"> ธ.ค.64</t>
  </si>
  <si>
    <t xml:space="preserve"> ม.ค.65</t>
  </si>
  <si>
    <t xml:space="preserve"> ก.พ.65</t>
  </si>
  <si>
    <t xml:space="preserve"> มี.ค.65</t>
  </si>
  <si>
    <t xml:space="preserve"> เม.ย.65</t>
  </si>
  <si>
    <t xml:space="preserve"> พ.ค.65</t>
  </si>
  <si>
    <t xml:space="preserve"> มิ.ย.65</t>
  </si>
  <si>
    <t xml:space="preserve"> ก.ค.</t>
  </si>
  <si>
    <t xml:space="preserve"> ส.ค.</t>
  </si>
  <si>
    <t xml:space="preserve"> ก.ย.</t>
  </si>
  <si>
    <t xml:space="preserve"> ก.ค.65</t>
  </si>
  <si>
    <t xml:space="preserve"> ส.ค.65</t>
  </si>
  <si>
    <t xml:space="preserve"> ก.ย.65</t>
  </si>
  <si>
    <t>1. ค่าตอบแทนใช้สอยและวัสดุ</t>
  </si>
  <si>
    <t xml:space="preserve">   1.1 ค่าตอบแทน</t>
  </si>
  <si>
    <t xml:space="preserve">       ค่าอาหารทำการนอกเวลา</t>
  </si>
  <si>
    <t xml:space="preserve">       ค่าเบี้ยประชุมกรรมการ</t>
  </si>
  <si>
    <t xml:space="preserve">       ค่าตอบแทน ศกอ.</t>
  </si>
  <si>
    <t xml:space="preserve">   1.2 ค่าใช้สอย</t>
  </si>
  <si>
    <t xml:space="preserve">       ค่าเบี้ยเลี้ยงค่าเช่าที่พักและพาหนะ</t>
  </si>
  <si>
    <t xml:space="preserve">       ค่าซ่อมแซมยานพาหนะและขนส่ง</t>
  </si>
  <si>
    <t xml:space="preserve">       ค่าซ่อมแซมครุภัณฑ์สำนักงาน</t>
  </si>
  <si>
    <t xml:space="preserve">       ค่าซ่อมแซมครุภัณฑ์คอมฯ</t>
  </si>
  <si>
    <t xml:space="preserve">       ค่าจ้างเหมาบริการ</t>
  </si>
  <si>
    <t xml:space="preserve">       ค่าจ้างเหมาช่วยปฏิบัติงาน</t>
  </si>
  <si>
    <t xml:space="preserve">       ค่าใช้จ่ายในการอบรมสัมมนา</t>
  </si>
  <si>
    <t xml:space="preserve">       ค่าอาหารว่างและเครื่องดื่ม</t>
  </si>
  <si>
    <t xml:space="preserve">  1.3 ค่าวัสดุ</t>
  </si>
  <si>
    <t xml:space="preserve">       ค่าวัสดุสำนักงาน</t>
  </si>
  <si>
    <t xml:space="preserve">       ค่าวัสดุงานบ้านงานครัว</t>
  </si>
  <si>
    <t xml:space="preserve">       ค่าน้ำมันเชื้อเพลิงฯ</t>
  </si>
  <si>
    <t xml:space="preserve">       ค่าวัสดุวิทยาศาสตร์</t>
  </si>
  <si>
    <t xml:space="preserve">       ค่าวัสดุคอมพิวเตอร์</t>
  </si>
  <si>
    <t>2.  ค่าสาธารณูปโภค</t>
  </si>
  <si>
    <t xml:space="preserve">       ค่าโทรศัพท์เคลื่อนที่</t>
  </si>
  <si>
    <t>ยอดแผนใช้จ่ายในไตรมาสที่ 4 รวมทั้งสิ้น</t>
  </si>
  <si>
    <t xml:space="preserve"> 5. ค่าเช่าสายสื่อสาร/บริการอินเตอร์เนท สศก.</t>
  </si>
  <si>
    <t>ก.ย.</t>
  </si>
  <si>
    <t>ก.ค.. 65</t>
  </si>
  <si>
    <t>ผบห. ศสส.</t>
  </si>
  <si>
    <t>ค่าใช้จ่ายโครงการ</t>
  </si>
  <si>
    <t>Cutting</t>
  </si>
  <si>
    <t>เพิ่มศักยภาพ</t>
  </si>
  <si>
    <t>ต้นทุน</t>
  </si>
  <si>
    <t>Agrimap</t>
  </si>
  <si>
    <t>รวมทุกงบรายจ่าย</t>
  </si>
  <si>
    <t>รวมแผน ส.ค.-ก.ย.</t>
  </si>
  <si>
    <t xml:space="preserve">ยอดแผนใช้จ่าย ส.ค. -ก.ย. </t>
  </si>
  <si>
    <t>เงินคงเหลือ</t>
  </si>
  <si>
    <t>แผนเดิม 
(ส.ค. - ก.ย.)</t>
  </si>
  <si>
    <t>เปรียบเทียบ
เพิ่ม/ลด (+/-)</t>
  </si>
  <si>
    <t xml:space="preserve"> แผนการใช้จ่ายเงิน เดือนสิงหาคม และเดือนกันยายน 2565 ของส่วนฝ่าย (ทุกงบรายจ่าย)</t>
  </si>
  <si>
    <t>สะสม 
(ต.ค.64-31 ก.ค. 65)</t>
  </si>
  <si>
    <t xml:space="preserve"> *หักค่าตอบแทน ศกอ. 1 เดือนออกแล้ว </t>
  </si>
  <si>
    <t xml:space="preserve"> **ยังไม่ได้กัน คชจ. ซ่อมห้อง พืชสวน </t>
  </si>
  <si>
    <t>ผลการเบิกจ่าย</t>
  </si>
  <si>
    <t>รายการเปรียบบัญชีระหว่าง ศสส. กับ ส่วนการเงิน</t>
  </si>
  <si>
    <t>ศสส.</t>
  </si>
  <si>
    <t>ส่วนการเงิน</t>
  </si>
  <si>
    <t xml:space="preserve">การเงินเกิน 22500 ศสส. 3920860 </t>
  </si>
  <si>
    <t>การเงินเบิกจ่าย</t>
  </si>
  <si>
    <t>ติดฟิล์มห้อง สภท. สทส.</t>
  </si>
  <si>
    <t>กล้อง webcam</t>
  </si>
  <si>
    <t xml:space="preserve">    4.2.1 ก.พัฒนาแพลตฟอร์มระบบทะเบียนเกษตรกรกลาง </t>
  </si>
  <si>
    <t xml:space="preserve"> 5.ค่าเช่าสายสื่อสาร/บริการอินเตอร์เนท สศก.</t>
  </si>
  <si>
    <t>ปี 2566</t>
  </si>
  <si>
    <t>14300/เดือน</t>
  </si>
  <si>
    <t>งบประมาณที่จะได้รับจัดสรรทั้งปี
(เฉพาะแผนงานพื้นฐานด้านการสร้างความสามารถในการเข่งขัน งบดำเนินงาน)</t>
  </si>
  <si>
    <t>หัก ค่าสาธารณูปโภค</t>
  </si>
  <si>
    <t xml:space="preserve">     หัก งบบริหารส่วนกลาง ร้อยละ 25</t>
  </si>
  <si>
    <t>คงเหลืองบดำเนินงานที่ได้รับจัดสรร</t>
  </si>
  <si>
    <t xml:space="preserve">  4.1 ค.จัดซื้อครุภัณฑ์คอมพิวเตอร์เพื่อทดแทนและเพิ่มประสิทธิภาพการปฏิบัติงาน</t>
  </si>
  <si>
    <t>แผนงานพื้นฐานด้านการสร้างนความสามารถในการแข่งขัน</t>
  </si>
  <si>
    <t xml:space="preserve"> แผนงานยุทธศาสตร์เกษตรสร้างมูลค่า</t>
  </si>
  <si>
    <t xml:space="preserve">  4.4 ค.ประยุกต์ใช้เทคโนโลยีฯ</t>
  </si>
  <si>
    <t xml:space="preserve">  4.2 ค.พัฒนาระบบสารบรรณ และการบริหารจัดการเอกสารอิเล็กทรอนิกส์</t>
  </si>
  <si>
    <t xml:space="preserve">  4.3 ค.พัฒนาระบบการรักษาความปลอดภัยไซเบอร์</t>
  </si>
  <si>
    <t>งบประมาณคงเหลือ</t>
  </si>
  <si>
    <t>คงเหลือ
หลังการโอน</t>
  </si>
  <si>
    <t>แผนงานยุทธศาสตร์เกษตรสร้างมูลค่า</t>
  </si>
  <si>
    <t>งบประมาณที่ได้รับจัดสรร</t>
  </si>
  <si>
    <t>ต.ค.</t>
  </si>
  <si>
    <t>พ.ย.</t>
  </si>
  <si>
    <t>ธ.ค.</t>
  </si>
  <si>
    <t>ไตรมาสที่ 1</t>
  </si>
  <si>
    <t>ม.ค.</t>
  </si>
  <si>
    <t>ก.พ.</t>
  </si>
  <si>
    <t>มี.ค.</t>
  </si>
  <si>
    <t>ไตรมาสที่ 2</t>
  </si>
  <si>
    <t>โอนให้ สศท. 1-12</t>
  </si>
  <si>
    <t>ค่าสาธารณูปโภค</t>
  </si>
  <si>
    <t>ค่าหมึกพิมพ์ผู้บริหาร</t>
  </si>
  <si>
    <t>จัดสรรให้ส่วน/ฝ่าย</t>
  </si>
  <si>
    <t>2. งบลงทุน</t>
  </si>
  <si>
    <t>แผนงานพื้นฐานด้านการสร้างความสามารถในการแข่งขัน</t>
  </si>
  <si>
    <t>ก. การประยุกต์ใช้เทคโนโลยีภูมิสารสนเทศเพื่อเพิ่มประสิทธิภาพการพยากรณ์ผลผลิตสินค้าเกษตร</t>
  </si>
  <si>
    <t>ก.การบูรณาการข้อมูลเชิงพื้นที่เนือที่เพาะปลูกพืชเศรษฐกิจของประเทศ</t>
  </si>
  <si>
    <t>ก.ประยุกต์ใช้เทคโนโลยีภูมิสารสนเทศ เพื่อเพิ่มประสิทธิภาพทำข้อมูลสินค้าเกษตร (สศท.8)</t>
  </si>
  <si>
    <t>ก.ประยุกต์ใช้เทคโนโลยีภูมิสารสนเทศ เพื่อเพิ่มประสิทธิภาพทำข้อมูลสินค้าเกษตร (สศท.11)</t>
  </si>
  <si>
    <t>3. งบรายจ่ายอื่น</t>
  </si>
  <si>
    <t>สพร</t>
  </si>
  <si>
    <t>ก.จัดเก็บข้อมูลปริมาณการผลิตพืชเศรษฐกิจที่สำคัญเพื่อสนับสนุนจัดทำนโยบาย (เชิงลึกเดิม)</t>
  </si>
  <si>
    <t>ก.เพิ่มประสิทธิภาพการจัดทำสารสนเทศต้นทุนการผลิตสินค้าเกษตร</t>
  </si>
  <si>
    <t>ก.พัฒนาศักยภาพเศรษฐกิจการเกษตรอาสาประจำศูนย์เรียรรู้</t>
  </si>
  <si>
    <t>ก.จัดทำข้อมูลกรอบตัวอย่างการสำรวจ (Sampling for List Frame Survey)</t>
  </si>
  <si>
    <t>ก.จัดเก็บข้อมูลผลผลิตต่อไร่โดยวิธีตั้งแปลงเก็บเกี่ยวผลผลิต (Crop Cutting) (สพร)</t>
  </si>
  <si>
    <t>ก.เพิ่มประสิทธิภาพการประมาณการและติดตามภาวะการผลิตสินค้าเกษตร  (สพก.)</t>
  </si>
  <si>
    <t>ก.ย่อย สำรวจข้อมูลภาวะเศรษฐกิจสังคมครัวเรือนเกษตร (Socio) สกก.</t>
  </si>
  <si>
    <t>สพก</t>
  </si>
  <si>
    <t>ค่าจ้างรักษาความปลอดภัย เดือนละ</t>
  </si>
  <si>
    <t>ค่าปลวกหนู</t>
  </si>
  <si>
    <t>12 เดือน เป็นเงิน</t>
  </si>
  <si>
    <t>ค่าจ้างเหมาช่วยปฏิบัติงาน  เดือนละ</t>
  </si>
  <si>
    <t>ค่าน้ำมันเชื้อเพลิง</t>
  </si>
  <si>
    <t>อื่น ๆ เช่น ค่าทางด่วน</t>
  </si>
  <si>
    <t>ค่าเช่าเครื่องถ่ายเอกสาร</t>
  </si>
  <si>
    <t>Q1</t>
  </si>
  <si>
    <t>Q2</t>
  </si>
  <si>
    <t>Q3</t>
  </si>
  <si>
    <t>Q4</t>
  </si>
  <si>
    <t>เมย.</t>
  </si>
  <si>
    <t>พค.</t>
  </si>
  <si>
    <t>มิย.</t>
  </si>
  <si>
    <t>ไตรมาสที่ 3</t>
  </si>
  <si>
    <t>กค.</t>
  </si>
  <si>
    <t>สค.</t>
  </si>
  <si>
    <t>กย.</t>
  </si>
  <si>
    <t>ไตรมาสที่ 4</t>
  </si>
  <si>
    <t>ค่าจ้างเหมาช่วยปฏิบัติงาน</t>
  </si>
  <si>
    <t>ค่าจ้างเหมาบริการ</t>
  </si>
  <si>
    <t>ก.ติดตามสถานการณ์การผลิตในระดับหมู่บ้าน ฯ โดย ศกอ.882 อำเภอ  (สปข)</t>
  </si>
  <si>
    <t>3.2 ค.ประยุกต์ใช้เทคโนโลยีสารสนเทศเพื่อเพิ่มประสิทธิภาพการพยากรณ์ผลผลิตสินค้าเกษตร (สภท.)</t>
  </si>
  <si>
    <t>3.3 ค.จัดทำสารสนเทศเศรษฐกิจการเกษตร เพื่อสนับสนุนการบริหารจัดการสินค้าเกษตร</t>
  </si>
  <si>
    <t>3.4 ค.ศูนย์เรียนรู้การเพิ่มประสิทธิภาพการผลิตสินค้าเกษตร (สปข.)</t>
  </si>
  <si>
    <t>โอนให้ สศท. เดือน เมย.66 = 1,464,000 บาท</t>
  </si>
  <si>
    <t>โอนให้ สศท. เดือน มค.66 =90,768 บาท (ถั่วเหลือง2) เดือน มิย.66 =  208,620  บาท (ถั่วเหลือง, สัปปะรด) รวม 299,338 บาท</t>
  </si>
  <si>
    <t>โอนให้ สศท. เดือน พย.65= 1,123,583 บาท</t>
  </si>
  <si>
    <t>โอนให้ สศท. เดือน พย= 878,400 บาท เดือน ธค.= 513,132 บาท , มค.66= 146,400 บาท , เดือน กค. = 390,888 บาท</t>
  </si>
  <si>
    <t xml:space="preserve">  4.3 ค.พัฒนาระบบการรักษาความปลอดภัยไซเบอร์ </t>
  </si>
  <si>
    <t>เท่ากับเดือนละ 916.67 บาท</t>
  </si>
  <si>
    <t xml:space="preserve">ข้อมูล ณ </t>
  </si>
  <si>
    <t>ครุภัณฑ์สำนักงาน</t>
  </si>
  <si>
    <t>ครุภัณฑ์งานบ้านงานครัว</t>
  </si>
  <si>
    <t>ครุภัณฑ์ไฟฟ้าและวิทยุ</t>
  </si>
  <si>
    <t>ครุภัณฑ์โฆษณาและเผยแพร่</t>
  </si>
  <si>
    <t>2.1 งบครุภัณฑ์</t>
  </si>
  <si>
    <t>2.2 ค.จัดซื้อครุภัณฑ์คอมพิวเตอร์เพื่อทดแทนและเพิ่มประสิทธิภาพการปฏิบัติงาน</t>
  </si>
  <si>
    <t>2.3 ค.พัฒนาระบบสารบรรณ และการบริหารจัดการเอกสารอิเล็กทรอนิกส์</t>
  </si>
  <si>
    <t>2.4 ค.พัฒนาระบบการรักษาความปลอดภัยไซเบอร์ (สทส.)</t>
  </si>
  <si>
    <t>2.5 ค.ประยุกต์ใช้เทคโนโลยีภูมิสารสนเทศเพื่อเพิ่มประสิทธิภาพการพยากรณ์ผลผลิตสินค้าเกษตร (สภท.)</t>
  </si>
  <si>
    <t>1.งบดำเนินงาน (หลังหักเงินกัน 25%)</t>
  </si>
  <si>
    <t>ลดยอด Q1</t>
  </si>
  <si>
    <t>ยอดเดิม Q1</t>
  </si>
  <si>
    <t>ปรับยอดรวมทั้งปี</t>
  </si>
  <si>
    <t>สรุปผลการเบิกจ่ายงบประมาณปี 2566</t>
  </si>
  <si>
    <t>ผอ.ศสส. และ ผู้เชี่ยวชาญฯ (รวมค่าหมึกพิมพ์ผู้บริหาร)</t>
  </si>
  <si>
    <t xml:space="preserve">ค่าประปาทั้งปี </t>
  </si>
  <si>
    <t>ค่าไฟฟ้า</t>
  </si>
  <si>
    <t>ค่าโทรศัพท์</t>
  </si>
  <si>
    <t>ค่าไปรษณีย์</t>
  </si>
  <si>
    <t>ค่าโทรศัพท์มือถือ</t>
  </si>
  <si>
    <t>ค่าเคเบิ้ล</t>
  </si>
  <si>
    <t>ค่าใช้จ่ายทั้งปี</t>
  </si>
  <si>
    <t xml:space="preserve">ปรับแก้ เป็น เท่ากับปี 65 เท่ากับ 3,919,980 บาท </t>
  </si>
  <si>
    <t xml:space="preserve"> เดือนละ 326,665 บาท ปรับแก้ไข ณ 25 พย.65 เป็น 4,468,800 บาท เดือนละ 372,400 บาท</t>
  </si>
  <si>
    <t>เงินรับโอนงวดที่ 1</t>
  </si>
  <si>
    <t>เงินโอนให้ สศท.</t>
  </si>
  <si>
    <t>แผน</t>
  </si>
  <si>
    <t>ผล</t>
  </si>
  <si>
    <t>แผน และโอนให้ สศท.</t>
  </si>
  <si>
    <t>ผล และโอนให้ สศท.</t>
  </si>
  <si>
    <t>คงเหลือ (เงินงวดที่ 1) หลังหักผลเบิก</t>
  </si>
  <si>
    <t xml:space="preserve">             งบสนับสนุน</t>
  </si>
  <si>
    <t xml:space="preserve">             งบรายจ่ายอื่น</t>
  </si>
  <si>
    <t xml:space="preserve">3.1 MA : </t>
  </si>
  <si>
    <t>เงินรับโอนงวดที่ 2</t>
  </si>
  <si>
    <t>เงินโอนให้ สศท.
ครั้งที่ 2</t>
  </si>
  <si>
    <t>คงเหลือ 
งวดที่ 2
หลังโอนให้ สศท.</t>
  </si>
  <si>
    <t>คงเหลือ 
งวดที่ 1
หลังโอนให้ สศท.</t>
  </si>
  <si>
    <t xml:space="preserve">รายละเอียดค่าใช้จ่ายในการจ้างบำรุงรักษาและซ่อมแซมแก้ไขอุปกรณ์เครือข่ายและเครื่องคอมพิวเตอร์แม่ข่าย (MA) </t>
  </si>
  <si>
    <t>ประจำปีงบประมาณ 2566</t>
  </si>
  <si>
    <t>ลำดับที่</t>
  </si>
  <si>
    <t>วันที่</t>
  </si>
  <si>
    <t>ได้รับงบประมาณ</t>
  </si>
  <si>
    <t>29 ธค.66</t>
  </si>
  <si>
    <t>วันที่(หนังสือแจ้งจาก สลก.)</t>
  </si>
  <si>
    <t>ได้รับการจัดสรรเพิ่ม 500,000 บาท</t>
  </si>
  <si>
    <t>โอนเปลี่ยนแปลงงบบริหารส่วนกลางของ สศก.จำนวนเงิน 876,000 บาท</t>
  </si>
  <si>
    <t>ได้รับการจัดสรรเพิ่ม 960,000 บาท</t>
  </si>
  <si>
    <t xml:space="preserve"> กษ 1301.01/3375 
ลว.25 ตค.66 </t>
  </si>
  <si>
    <t>กษ 1301.01/3917 
ลว. 13 ธค.66</t>
  </si>
  <si>
    <t>ได้รับเงินสนับสนุนจากงบบริหารส่วนกลาง จำนวน 1,554,000 บาท</t>
  </si>
  <si>
    <t>งบ</t>
  </si>
  <si>
    <t>งบสนับสนุน</t>
  </si>
  <si>
    <t>ประจำปีงบประมาณ 2566 ณ ไตรมาส 1 - 2</t>
  </si>
  <si>
    <t>ได้รับงบประมาณงวดที่ 1</t>
  </si>
  <si>
    <t>25 ตค.66</t>
  </si>
  <si>
    <t>9 กพ.66</t>
  </si>
  <si>
    <t>13 ธค.66</t>
  </si>
  <si>
    <t>รวมเป็นเงิน</t>
  </si>
  <si>
    <t>13 กพ.66</t>
  </si>
  <si>
    <t>จำนวนเงินที่ได้รับ</t>
  </si>
  <si>
    <t>ผลการเบิกจ่าย ณ 13 กพ.66</t>
  </si>
  <si>
    <t>ต้องทำโอนเปลี่ยนแปลง 970,000 บาท</t>
  </si>
  <si>
    <t>เงินรับโอนงวด 1</t>
  </si>
  <si>
    <t>ใช้ไป ตค.-กพ.</t>
  </si>
  <si>
    <t>เหลือ งวด 1</t>
  </si>
  <si>
    <t>เงินรับโอนงวด 2</t>
  </si>
  <si>
    <t>แผนส่วน มีค.-มิย.</t>
  </si>
  <si>
    <t>เงินรับโอนงวด 3</t>
  </si>
  <si>
    <t>แผนส่วน กค.-กย.</t>
  </si>
  <si>
    <t>งบดำเนินงาน (หลังหักเงินกัน 25%)</t>
  </si>
  <si>
    <t>คงเหลือ หลังโอนให้ สศท.</t>
  </si>
  <si>
    <t>เงินคงเหลือรวม</t>
  </si>
  <si>
    <t>แผน มีค.-กย.</t>
  </si>
  <si>
    <t>รวมแผน</t>
  </si>
  <si>
    <t>แผน ตค.-กพ.</t>
  </si>
  <si>
    <t>ผล ตค.-กพ</t>
  </si>
  <si>
    <t>ผล มีค.-กย</t>
  </si>
  <si>
    <t>ผลต่าง จัดสรร กับแผน</t>
  </si>
  <si>
    <t>คงเหลือ มีค.-กย</t>
  </si>
  <si>
    <t>คงเหลือ ตค.-กพ</t>
  </si>
  <si>
    <t>รวมผล ณ ปัจจุบัน</t>
  </si>
  <si>
    <t>คงเหลือรวม</t>
  </si>
  <si>
    <t>เงินรับโอนงวดที่ 3</t>
  </si>
  <si>
    <t>เงินโอนให้ สศท.
ครั้งที่ 3</t>
  </si>
  <si>
    <t>คงเหลือ 
งวดที่ 3
หลังโอนให้ สศท.</t>
  </si>
  <si>
    <t>20 มีค.66</t>
  </si>
  <si>
    <t>ได้รับการจัดสรรเพิ่ม 500,000 บาท (กษ 1301.01/ว 4120)</t>
  </si>
  <si>
    <t>ได้รับการจัดสรรเพิ่ม 960,000 บาท (กษ 1301.01/542)</t>
  </si>
  <si>
    <t>ได้รับเงินสนับสนุนจากงบบริหารส่วนกลาง จำนวน 1,554,000 บาท (กษ 1301.01/3917)</t>
  </si>
  <si>
    <t>โอนเปลี่ยนแปลงงบบริหารส่วนกลาง จำนวนเงิน 877,735 บาท (กษ 1301.01/1098)</t>
  </si>
  <si>
    <t>ได้รับงบประมาณงวดที่ 2</t>
  </si>
  <si>
    <t>ได้รับจัดสรรงบประมาณ</t>
  </si>
  <si>
    <t>โอนเปลี่ยนแปลงงบบริหารส่วนกลางของ สศก. จำนวนเงิน 876,000 บาท (กษ 1301.01/3375)</t>
  </si>
  <si>
    <t>รวมงบประมาณที่ได้รับทั้งสิ้น</t>
  </si>
  <si>
    <t>ผลเบิกจ่าย ณ 22 มีค.66</t>
  </si>
  <si>
    <t>คงเหลืองบประมาณทั้งสิ้น ณ 22 มีค.66</t>
  </si>
  <si>
    <t>เงินโอนให้ สศท. ครั้งที่ 1</t>
  </si>
  <si>
    <t>งบประมาณที่ได้รับจัดสรรทั้งปี</t>
  </si>
  <si>
    <t>อื่น ๆ เช่น ค่าทางด่วน น้ำดื่ม</t>
  </si>
  <si>
    <t>1.แผนการใช้งบดำเนินงาน (หลังหักเงินกัน 25%)</t>
  </si>
  <si>
    <t>งบประมาณได้รับหลังหักเงินกัน 25%</t>
  </si>
  <si>
    <t>แผนการจัดสรรให้ส่วน/ฝ่าย</t>
  </si>
  <si>
    <t>แผน และโอนให้ สศท. ครั้งที่ 1,2 และ 3</t>
  </si>
  <si>
    <t>ผล และโอนให้ สศท. ครั้งที่ 1,2 และ 3</t>
  </si>
  <si>
    <t>ก.ย่อย สำรวจข้อมูลภาวะเศรษฐกิจสังคมครัวเรือนเกษตร (Socio) สกก. (เหลื่อมล้ำ)</t>
  </si>
  <si>
    <t>ก.พัฒนาศักยภาพเศรษฐกิจการเกษตรอาสาประจำศูนย์เรียนรู้</t>
  </si>
  <si>
    <t>คงเหลือ (เงินงวดที่ 1+2+3) หลังหักผลเบิก</t>
  </si>
  <si>
    <t>คงเหลือ หลังได้รับงวด 3 จากงบประมาณทั้งปี</t>
  </si>
  <si>
    <t>คงเหลือ หลังได้รับงวด 3 จากแผน ทั้งปี</t>
  </si>
  <si>
    <t>ผลต่างเงินคงเหลือ ระหว่างงบทั้งปี กับ จากแผน</t>
  </si>
  <si>
    <t>โอนเปลี่ยนแปลงงบประมาณ ปี 2566</t>
  </si>
  <si>
    <t>ค่าใช้จ่ายในการบำรุงรักษาคอมพิวเตอร์ MA</t>
  </si>
  <si>
    <t>เดิม</t>
  </si>
  <si>
    <t xml:space="preserve"> - งบบริหารส่วนกลาง</t>
  </si>
  <si>
    <t>เป็น</t>
  </si>
  <si>
    <t xml:space="preserve">   ผลผลิต บริหารจัดการด้านเศรษฐกิจการเกษตร</t>
  </si>
  <si>
    <t>ค่าใช้จ่ายในการบำรุงรักษาคอมพิวเตอร์</t>
  </si>
  <si>
    <t>เงินเหลือจ่าย ปี 65</t>
  </si>
  <si>
    <t>งบลงทุน</t>
  </si>
  <si>
    <t>หน่วย : บาท</t>
  </si>
  <si>
    <t>เงินเหลือจ่าย ปี 66</t>
  </si>
  <si>
    <t>โครงการพัฒนาระบบสารบรรณ</t>
  </si>
  <si>
    <t>โครงการซื้อครุภัณฑ์คอมพิวเตอร์ทดแทนเพื่อเพิ่มประสิทธิภาพฯ</t>
  </si>
  <si>
    <t xml:space="preserve">เป็น </t>
  </si>
  <si>
    <t>ค่าตอบแทน ศกอ. เดือน มีค.-มิย.66 และ กย.66</t>
  </si>
  <si>
    <t xml:space="preserve"> -งบบริหารส่วนกลาง สลก.</t>
  </si>
  <si>
    <t>ตารางที่ 2 รายละเอียดค่าใช้จ่ายแยก ส่วน/ฝ่าย (กิจกรรมการบูรณาการข้อมูลเชิงพื้นที่เนื้อที่เพาะปลูกพืชเศรษฐกิจของประเทศ)</t>
  </si>
  <si>
    <t>ตารางที่ 1 รายละเอียดค่าใช้จ่ายแยก ส่วน/ฝ่าย (กิจกรรมประยุกต์ใช้เทคโนโลยีภูมิสารสนเทศในการพยากรณ์ผลผลิตสินค้าเกษตร และการบริหารจัดการข้อมูลเชิงพื้นที่)</t>
  </si>
  <si>
    <t>ตารางที่ 4 รายละเอียดค่าใช้จ่ายแยก ส่วน/ฝ่าย (กิจกรรมจัดเก็บข้อมูลผลผลิตต่อไร่โดยวิธีตั้งแปลงเก็บเกี่ยวผลผลิต (Crop Cutting) )</t>
  </si>
  <si>
    <t>ตารางที่ 5 รายละเอียดค่าใช้จ่ายแยก ส่วน/ฝ่าย (กิจกรรมจัดทำข้อมูลปริมาณการผลิตพืชเศรษฐกิจที่สำคัญเพื่อสนับสนุนการจัดทำนโยบาย)</t>
  </si>
  <si>
    <t>ตารางที่ 3 รายละเอียดค่าใช้จ่ายแยก ส่วน/ฝ่าย (กิจกรรมจัดทำฐานข้อมูลเพื่อติดตามความก้าวหน้าของสินค้าเกษตรปลอดภัย)</t>
  </si>
  <si>
    <t>ตารางที่ 3 รายละเอียดค่าใช้จ่ายแยก ส่วน/ฝ่าย (กิจกรรมการพัฒนาระบบข้อมูลสารสนเทศการเกษตรเพื่อการบริหารจัดการฟาร์ม)</t>
  </si>
  <si>
    <t>ตารางที่ 5 รายละเอียดค่าใช้จ่ายแยก ส่วน/ฝ่าย (กิจกรรมพัฒนาศักยภาพเศรษฐกิจการเกษตรอาสาประจำศูนย์เรียนรู้การเพิ่มประสิทธิภาพการผลิตสินค้าเกษตร)</t>
  </si>
  <si>
    <t>ตารางที่ 6 รายละเอียดค่าใช้จ่ายแยก ส่วน/ฝ่าย (กิจกรรมการจัดทำข้อมูลกรอบตัวอย่างสำหรับการสำรวจ (Sampling for List Frame Survey) โดยอาสาสมัครเกษตรหมู่บ้าน)</t>
  </si>
  <si>
    <t>ตารางที่ 7 รายละเอียดค่าใช้จ่ายแยก ส่วน/ฝ่าย (กิจกรรมจัดทำสารสนเทศเศรษฐกิจสังคมครัวเรือนเกษตรเพื่อสนับสนุนการพัฒนาภาคการเกษตร )</t>
  </si>
  <si>
    <t>ตารางที่ 8 รายละเอียดค่าใช้จ่ายแยก ส่วน/ฝ่าย (โครงการจัดซื้อครุภัณฑ์คอมพิวเตอร์เพื่อทดแทนและเพิ่มประสิทธิภาพของสำนักงานเศรษฐกิจการเกษตร)</t>
  </si>
  <si>
    <t>ตารางที่ 8 รายละเอียดค่าใช้จ่ายแยก ส่วน/ฝ่าย (โครงการจัดหาครุภัณฑ์คอมพิวเตอร์และซอฟต์แวร์เพื่อใช้ในการจัดทำสื่อสารสนเทศ)</t>
  </si>
  <si>
    <t>ตารางที่ 8 รายละเอียดค่าใช้จ่ายแยก ส่วน/ฝ่าย (โครงการจัดซื้อครุภัณฑ์คอมพิวเตอร์เพื่อทดแทนระบบเครือข่ายไร้สายและระบบรักษาความมั่นคงปลอดภัยสารสนเทศ)</t>
  </si>
  <si>
    <t>ปี 2567</t>
  </si>
  <si>
    <t>ตารางที่ 3 รายละเอียดค่าใช้จ่ายแยก ส่วน/ฝ่าย (กิจกรรมเพิ่มประสิทธิภาพการจัดทำสารสนเทศต้นทุนการผลิตภาคเกษตร)</t>
  </si>
  <si>
    <t>ตารางที่ 2 รายละเอียดค่าใช้จ่ายแยก ส่วน/ฝ่าย (กิจกรรมเพิ่มประสิทธิภาพการประมาณการและติดตามภาวะการผลิตสินค้าเกษตร )</t>
  </si>
  <si>
    <t>ตารางที่ 3 รายละเอียดค่าใช้จ่ายแยก ส่วน/ฝ่าย (กิจกรรมการติดตามสถานการณ์การผลิตในระดับหมู่บ้านและสถานการณ์ราคาสินค้าเกษตรที่สำคัญในระดับท้องถิ่น รวมทั้งข้อมูลเตือนภัย ด้านเศรษฐกิจการเกษตรและภัยธรรมชาติ โดยเศรษฐกิจการเกษตรอาสา (ศกอ) 882)</t>
  </si>
  <si>
    <t>5. รายการเบิกค่าใช้จ่าย กิจกรรมจัดทำข้อมูลปริมาณการผลิตพืชเศรษฐกิจที่สำคัญเพื่อสนับสนุนการจัดทำนโยบาย</t>
  </si>
  <si>
    <t>คงเหลือสำหรับ ศสส. ใช้จ่าย</t>
  </si>
  <si>
    <t>3. โอนให้ สศท.1-12</t>
  </si>
  <si>
    <t xml:space="preserve">2. หักกันผู้บริหาร 25 % </t>
  </si>
  <si>
    <t>1. จัดสรรเพื่อการบริหาร</t>
  </si>
  <si>
    <t>(1) รายการผูกพัน(สัญญาทั้งปี)</t>
  </si>
  <si>
    <t>(2) รายการใช้จ่ายส่วนกลาง</t>
  </si>
  <si>
    <t>2. ค่าสาธาณูปโภค</t>
  </si>
  <si>
    <t>3. โอนเงิน/โอนเปลี่ยนแปลงงบประมาณ</t>
  </si>
  <si>
    <t>4. ได้รับจัดสรรงบจากส่วนกลางค่า MA</t>
  </si>
  <si>
    <t>ตารางที่ 2 รายละเอียดค่าใช้จ่าย แยกส่วน/ฝ่าย (งบดำเนินงาน) ยังไม่รวมค่าใช้จ่ายโครงการต่างๆ</t>
  </si>
  <si>
    <t>ไปพลางก่อน</t>
  </si>
  <si>
    <t>ตารางที่ 5 สรุปค่าใช้จ่ายงบประมาณ ปี 2566 ไปพลางก่อน ระหว่าง 1 ตุลาคม 66 ถึง 31 พฤษภาคม 67 (หลังหักเงินกัน 25 %)</t>
  </si>
  <si>
    <t xml:space="preserve">        2.1  ก.อกม.</t>
  </si>
  <si>
    <t xml:space="preserve">       2.4  ก.ต้นทุน</t>
  </si>
  <si>
    <t xml:space="preserve">               2.2  ก.พัฒนา ศกอ.</t>
  </si>
  <si>
    <t xml:space="preserve">     2.6  ก.เชิงลึก</t>
  </si>
  <si>
    <t xml:space="preserve">                                 2.7  ก.ประมาณการและติดตามภาวะฯ</t>
  </si>
  <si>
    <t xml:space="preserve">                                2.8 ก.รายงานสถานการณ์โดย ศกอ.</t>
  </si>
  <si>
    <t xml:space="preserve">        2.5  ก.Cutting</t>
  </si>
  <si>
    <t>โอนให้ สศท./สลก.</t>
  </si>
  <si>
    <t>กระทบยอด</t>
  </si>
  <si>
    <t>ขอเห็นชอบ 190,000 ขอปรับลดให้เหลือ 50,000</t>
  </si>
  <si>
    <t xml:space="preserve">     ก.เพิ่มประสิทธิภาพการจัดทำสารสนเทศต้นทุนการผลิตภาคเกษตร</t>
  </si>
  <si>
    <t xml:space="preserve">     ก.จัดเก็บข้อมูลผลผลิตต่อไร่โดยวิธี Crop Cutting</t>
  </si>
  <si>
    <t xml:space="preserve">     ก.จัดทำข้อมูลปริมาณการผลิตพืชเศรษฐกิจที่สำคัญฯ</t>
  </si>
  <si>
    <t xml:space="preserve">     ก.เพิ่มประสิทธิภาพการประมาณการและติดตามภาวะฯ</t>
  </si>
  <si>
    <t xml:space="preserve">       ก.ติดตามสถานการณ์การผลิตในระดับหมู่บ้านโดย ศกอ. 882 อ.</t>
  </si>
  <si>
    <t>1.2 ค.ประยุกต์ใช้เทคโนโลยีภูมิสารสนเทศฯ</t>
  </si>
  <si>
    <t xml:space="preserve">     ก.ประยุกต์ใช้เทคโนโลยีภูมิสารสนเทศเพื่อเพิ่มประสิทธิภาพฯ</t>
  </si>
  <si>
    <t xml:space="preserve">     ก.บูรณาการข้อมูลเชิงพื้นที่เนื้อที่เพาะปลูกพืชเศรษฐกิจฯ</t>
  </si>
  <si>
    <t>ผลการเบิกจ่ายงบดำเนินงานของ ส่วน/ฝ่าย</t>
  </si>
  <si>
    <t>ลำดับ</t>
  </si>
  <si>
    <t>ผลการเบิกจ่าย (%)</t>
  </si>
  <si>
    <t xml:space="preserve">ผลการเบิกจ่ายรายกิจกรรม </t>
  </si>
  <si>
    <t>แผนงานพื้นฐานานการสร้างความสามารถในการแข่งขัน</t>
  </si>
  <si>
    <t>1. งบดำเนินงาน (หลังหัก 25%)</t>
  </si>
  <si>
    <t xml:space="preserve">  1.1 งานพื้นฐาน (งานสถิติ) (หลังหัก 25%)</t>
  </si>
  <si>
    <t xml:space="preserve">       ก.จัดทำข้อมูลกรอบตัวอย่างสำหรับการสำรวจโดย อกม.</t>
  </si>
  <si>
    <t xml:space="preserve">       ก.พัฒนาศักยภาพเศรษฐกิจการเกษตรอาสาฯ ศกอ.</t>
  </si>
  <si>
    <t xml:space="preserve">       ก.จัดทำสารสนเทศเศรษฐกิจสังคมครัวเรือนเกษตร Socio</t>
  </si>
  <si>
    <t>2.1 จ้างบำรุงรักษาและซ่อมแซมแก้ไขอุปกรณ์เครือข่าย (MA)</t>
  </si>
  <si>
    <t xml:space="preserve">1. งบรายจ่ายอื่น </t>
  </si>
  <si>
    <t>1.1 ค.จัดทำสารสนเทศเศรษฐกิจการเกษตร เพื่อสนับสนุนฯ</t>
  </si>
  <si>
    <t xml:space="preserve">               - ผู้บริหาร ศสส.</t>
  </si>
  <si>
    <t xml:space="preserve"> 1.2 ค.ศูนย์เรียนรู้การเพิ่มประสิทธิภาพการผลิตสินค้าเกษตร</t>
  </si>
  <si>
    <t xml:space="preserve">คงเหลือ 
</t>
  </si>
  <si>
    <t>พ.ย. (สะสม)</t>
  </si>
  <si>
    <t>ธ.ค. (สะสม)</t>
  </si>
  <si>
    <t>ม.ค. (สะสม)</t>
  </si>
  <si>
    <t>ก.พ. (สะสม)</t>
  </si>
  <si>
    <t>มี.ค. (สะสม)</t>
  </si>
  <si>
    <t>เม.ย. (สะสม)</t>
  </si>
  <si>
    <t>พ.ค. (สะสม)</t>
  </si>
  <si>
    <t>ได้รับเงินมาแล้ว  (6 เดือน)</t>
  </si>
  <si>
    <t>แผน-ผลการใช้จ่ายงบประมาณ 2566 พลางก่อน  (ตุลาคม 66 - พฤษภาคม 67)</t>
  </si>
  <si>
    <t>ได้รับจัดสรรมาแล้ว สำหรับ 6 เดือน (ต.ค. 66 -มี.ค. 67) จำนวน 10,025,300 หักเงินกันผู้บริหาร 25 % เท่ากับ 1,708,300 คงเหลือ 8,137,000 บาท</t>
  </si>
  <si>
    <t>MA  (งบรายจ่ายอื่น)</t>
  </si>
  <si>
    <t>1. ค.ประยุกต์ใช้เทคโนโลยีภูมิสารสนเทศฯ</t>
  </si>
  <si>
    <t>แผนงานยุทธศาสตร์เกษตรสร้างมูลค่า (งบรายจ่ายอื่น)</t>
  </si>
  <si>
    <t>2. ค.จัดทำสารสนเทศเศรษฐกิจการเกษตร เพื่อสนับสนุนการบริหารจัดการสินค้าเกษตร</t>
  </si>
  <si>
    <t xml:space="preserve"> 1. ก. ต้นทุนการผลิตภาคเกษตร</t>
  </si>
  <si>
    <t>2. ก. Crop Cutting</t>
  </si>
  <si>
    <t>3. ก.จัดเก็บข้อมูลปริมาณการผลิตพืชเศรษฐกิจที่สำคัญเพื่อสนับสนุนจัดทำนโยบาย (เชิงลึกเดิม)</t>
  </si>
  <si>
    <t>4. ก.เพิ่มประสิทธิภาพการประมาณการและติดตามภาวะการผลิตสินค้าเกษตร  (สพก.)</t>
  </si>
  <si>
    <t>5. ก.ติดตามสถานการณ์การผลิตในระดับหมู่บ้าน ฯ โดย ศกอ.882 อำเภอ  (สปข)</t>
  </si>
  <si>
    <t xml:space="preserve"> แผนการจัดสรรให้ส่วน/ฝ่าย</t>
  </si>
  <si>
    <t>3. โครงการศูนย์เรียนรู้ฯ (งบรายจ่ายอื่น)</t>
  </si>
  <si>
    <t>1. ก.จัดทำข้อมูลกรอบตัวอย่างสำหรับการสำรวจโดย อกม.</t>
  </si>
  <si>
    <t>2. ก.จัดทำสารสนเทศเศรษฐกิจสังคมครัวเรือนเกษตร Socio</t>
  </si>
  <si>
    <t>2. ก.บูรณาการข้อมูลเชิงพื้นที่เนือที่เพาะปลูกพืชเศรษฐกิจของประเทศ</t>
  </si>
  <si>
    <t>1. ก. ประยุกต์ใช้เทคโนโลยีภูมิสารสนเทศเพื่อเพิ่มประสิทธิภาพการพยากรณ์ผลผลิตสินค้าเกษตร</t>
  </si>
  <si>
    <t>1.แผนการใช้จ่ายงบดำเนินงาน (หลังหักเงินกัน 25% และโอนให้ สศท.)</t>
  </si>
  <si>
    <t>ผลการเบิกจ่ายสะสม (ต.ค. - ธ.ค. 66)</t>
  </si>
  <si>
    <t>ค.จัดทำสารสนเทศเศรษฐกิจการเกษตร เพื่อสนับสนุนฯ</t>
  </si>
  <si>
    <t>ค. ศูนย์เรียนรู้ฯ</t>
  </si>
  <si>
    <t>ค.ประยุกต์ใช้เทคโนโลยีภูมิสารสนเทศฯ</t>
  </si>
  <si>
    <t>งบได้รับทั้งสิ้น</t>
  </si>
  <si>
    <t>รับงวด 1</t>
  </si>
  <si>
    <t>รับงวด 2</t>
  </si>
  <si>
    <t>งานพื้นฐาน (งบดำเนินงาน)</t>
  </si>
  <si>
    <t xml:space="preserve">       ก.เหลื่อมล้ำฯ</t>
  </si>
  <si>
    <t xml:space="preserve">       ก.บริหารเงินทุน</t>
  </si>
  <si>
    <t>2. งบรายจ่ายอื่น / ดำเนินงาน</t>
  </si>
  <si>
    <t>ยอดคงเหลืองานพื้นฐานและ ma ไม่รวม ศูนย์เรียนรู้ฯ</t>
  </si>
  <si>
    <t>สลก./กรมส่งเสริมการเกษตร</t>
  </si>
  <si>
    <t xml:space="preserve">  1.2 จ้างบำรุงรักษาและซ่อมแซมแก้ไขอุปกรณ์เครือข่าย (MA)</t>
  </si>
  <si>
    <t>2. งบลุงทุน</t>
  </si>
  <si>
    <t>2.1 ค.ประยุกต์ใช้เทคโนโลยีภูมิสารสนเทศฯ</t>
  </si>
  <si>
    <t xml:space="preserve"> -ครุภัณฑ์คอมพิวเตอร์</t>
  </si>
  <si>
    <t xml:space="preserve"> -ครุภัณฑ์วิทยาศาสตร์</t>
  </si>
  <si>
    <t>2.2 ค.จัดทำสารสนเทศเศรษฐกิจการเกษตร เพื่อสนับสนุนฯ</t>
  </si>
  <si>
    <t xml:space="preserve">     ก.จัดทำข้อมูลกรอบตัวอย่างสำหรับการสำรวจโดย อกม.</t>
  </si>
  <si>
    <t xml:space="preserve">     ก.พัฒนาศักยภาพเศรษฐกิจการเกษตรอาสาฯ</t>
  </si>
  <si>
    <t xml:space="preserve">     ก.จัดทำสารสนเทศเศรษฐกิจสังคมครัวเรือนเกษตร Socio</t>
  </si>
  <si>
    <t xml:space="preserve"> -</t>
  </si>
  <si>
    <t>แผนงานยุทธศาสตร์การพัฒนาและส่งเสริมเศรษฐกิจฐานราก</t>
  </si>
  <si>
    <t>16. ค่าจัดซื้อครุภัณฑ์คอมพิวเตอร์เพื่อทดแทนและเพิ่มประสิทธิภาพของ สศก.</t>
  </si>
  <si>
    <t xml:space="preserve"> ค.ศูนย์เรียนรู้การเพิ่มประสิทธิภาพการผลิตสินค้าเกษตร</t>
  </si>
  <si>
    <t xml:space="preserve">       ก.จัดทำฐานข้อมูลเพื่อติดตามความก้าวหน้าของสินค้าเกษตรฯ</t>
  </si>
  <si>
    <t xml:space="preserve">   2.3 ค.จัดซื้อครุภัณฑ์คอมพิวเตอร์เพื่อทดแทนและเพิ่มประสิทธิภาพของ สศก.</t>
  </si>
  <si>
    <t xml:space="preserve">   2.4 ค.จัดหาครุภัณฑ์คอมพิวเตอร์และซอฟต์แวร์เพื่อใช้ในการจัดทำสื่อสารสนเทศ</t>
  </si>
  <si>
    <t xml:space="preserve">   6) ก. จัดทำฐานข้อมูลฯ เกษตรปลอดภัย</t>
  </si>
  <si>
    <t xml:space="preserve">   4) ก.เพิ่มประสิทธิภาพการประมาณการและติดตามภาวะฯ</t>
  </si>
  <si>
    <t xml:space="preserve">   3) ก.จัดทำข้อมูลปริมาณการผลิตพืชเศรษฐกิจที่สำคัญฯ</t>
  </si>
  <si>
    <t xml:space="preserve">   5) ก.ติดตามสถานการณ์การผลิตในระดับหมู่บ้านโดย ศกอ. 882 อ.</t>
  </si>
  <si>
    <t xml:space="preserve">   2) ก.จัดเก็บข้อมูลผลผลิตต่อไร่โดยวิธี Crop Cutting</t>
  </si>
  <si>
    <t xml:space="preserve">   1) ก.เพิ่มประสิทธิภาพการจัดทำสารสนเทศต้นทุนฯ</t>
  </si>
  <si>
    <t xml:space="preserve">   2) ก.บูรณาการข้อมูลเชิงพื้นที่เนื้อที่เพาะปลูกพืชเศรษฐกิจฯ</t>
  </si>
  <si>
    <t xml:space="preserve">   1) ก.ประยุกต์ใช้เทคโนโลยีภูมิสารสนเทศเพื่อเพิ่มประสิทธิภาพฯ</t>
  </si>
  <si>
    <t xml:space="preserve">  1) ก.ประยุกต์ใช้เทคโนโลยีภูมิสารสนเทศในการพยากรณ์ฯ</t>
  </si>
  <si>
    <t xml:space="preserve">  2) ก.บูรณาการข้อมูลเชิงพื้นที่เนื้อที่เพาะปลูกพืชเศรษฐกิจฯ (ครุภัณฑ์สำรวจ)</t>
  </si>
  <si>
    <t xml:space="preserve">  1) ก.จัดเก็บข้อมูลผลผลิตต่อไร่โดยวิธี Crop Cutting (ครุภัณฑ์วิทยาศาสตร์)</t>
  </si>
  <si>
    <t xml:space="preserve">  2) ก.จัดทำฐานข้อมูลฯ เกษตรปลอดภัย (ครุภัณฑ์คอมพิวเตอร์)</t>
  </si>
  <si>
    <t xml:space="preserve">  2.1 เครื่องปรับอากาศ (สปร. สพก. สปข.)</t>
  </si>
  <si>
    <t xml:space="preserve">  2.2 เก้าอี้สำนักงาน (สพร. สพส. ฝบท.)</t>
  </si>
  <si>
    <t>ยอดเดิม</t>
  </si>
  <si>
    <t>ยอดใหม่</t>
  </si>
  <si>
    <t>ยอดใหม่ (ยอดเบิกจ่ายสิ้น ม.ค. + ขอใช้ ก.พ. - ก.ย.)</t>
  </si>
  <si>
    <t>รวมทุกส่วนฝ่ายใหม่</t>
  </si>
  <si>
    <t xml:space="preserve">   2.5 ค.จัดซื้อครุภัณฑ์คอมพิวเตอร์เพื่อทดแทนระบบเครือข่ายไร้สายและระบบรักษาความมั่นคงปลอดภัยสารสนเทศ</t>
  </si>
  <si>
    <t xml:space="preserve">1. งบประมาณได้รับ </t>
  </si>
  <si>
    <t>ตารางที่ 5 สรุปค่าใช้จ่ายงบประมาณ ปี 2568  ระหว่าง 1 ตุลาคม 67 ถึง 30 กันยายน 68 (หลังหักเงินกัน 25 %)</t>
  </si>
  <si>
    <t>ปี 2568</t>
  </si>
  <si>
    <t xml:space="preserve">   ค.เพิ่มประสิทธิภาพการจัดการจัดทำสารสนเทศฯ และการบริหารจัดการข้อมูลขนาดใหญ่</t>
  </si>
  <si>
    <t xml:space="preserve"> 1) ก.ประยุกต์ใช้เทคโนโลยีภูมิสารสนเทศฯ</t>
  </si>
  <si>
    <t>2) ก.จัดทำสารสนเทศเศรษฐกิจการเกษตร เพื่อสนับสนุนฯ</t>
  </si>
  <si>
    <t>ค.เพิ่มประสิทธิภาพการจัดทำสารสนเทศฯ และก.บริหารจัดการฯ</t>
  </si>
  <si>
    <t xml:space="preserve">     ก.ประยุกต์ใช้เทคโนโลยีภูมิสารสนเทศฯ</t>
  </si>
  <si>
    <t>งบประมาณ 2568</t>
  </si>
  <si>
    <t xml:space="preserve">   ตารางที่ 3 รายละเอียดการจัดสรรเงินเพื่อการบริหารงาน ประจำปีงบประมาณ พ.ศ.2568 (งบดำเนินงาน)</t>
  </si>
  <si>
    <t>1 ต.ค. 67 -</t>
  </si>
  <si>
    <t xml:space="preserve">งบรายจ่ายอื่น </t>
  </si>
  <si>
    <t>ตารางที่ 2 รายละเอียดค่าใช้จ่ายแยก ส่วน/ฝ่าย (ค่าใช้จ่ายในการจัดทำแผนที่แสดงเนื้อที่เพาะปลูก/ยืนต้นพืชเศรษฐกิจเชิงเดี่ยว (Single Maps) )</t>
  </si>
  <si>
    <t>ตารางที่ 3 รายละเอียดค่าใช้จ่ายแยก ส่วน/ฝ่าย (คชจ. ในการศึกษาผลกระทบจากการเปลี่ยนแปลงสภาพอากาศต่อต้นทุนการผลิตสินค้า)</t>
  </si>
  <si>
    <t>ตารางที่ 3 รายละเอียดค่าใช้จ่ายแยก ส่วน/ฝ่าย (คชจ. ในการยกระดับการสำรวจข้อมูลปริมาณการผลิตสินค้าเกษตรแบบ Digital Survey)</t>
  </si>
  <si>
    <t>ตารางที่ 3 รายละเอียดค่าใช้จ่ายแยก ส่วน/ฝ่าย (คชจ. ในการจัดทำข้อมูลไม้ผลเศรษฐกิจ   )</t>
  </si>
  <si>
    <t>ตารางที่ 3 รายละเอียดค่าใช้จ่ายแยก ส่วน/ฝ่าย (  คชจ. ในการจัดทำฐานข้อมูลเพื่อติดตามความก้าวหน้าของสินค้าเกษตรอัตลักษณ์พื้นถิ่น)</t>
  </si>
  <si>
    <t>2. จัดสรรเพื่อการบริหาร</t>
  </si>
  <si>
    <t>3. จัดสรรเป็นค่าสาธารณูปโภค</t>
  </si>
  <si>
    <t>4. ส่วนกลาง (ผอ.ศสส./ผชช./งานเร่งด่วน)</t>
  </si>
  <si>
    <t>5. ส่วนกลาง  / หมึกพิมพ์ผู้บริหาร สศก.)</t>
  </si>
  <si>
    <t>รวมรายจ่าย</t>
  </si>
  <si>
    <t>รวม เงินงบดำเนินงาน ที่ใช้ใน ศสส.</t>
  </si>
  <si>
    <t>โอนให้ สศท. 1 - 12</t>
  </si>
  <si>
    <t>ยอดได้รับ 2568  (หัก 25%)</t>
  </si>
  <si>
    <t>ปี พ.ศ. 2568</t>
  </si>
  <si>
    <t xml:space="preserve"> รวมงบประมาณได้รับ </t>
  </si>
  <si>
    <t>1. จัดสรรให้ส่วน/ฝ่าย</t>
  </si>
  <si>
    <t>6. โอนเปลี่ยนแปลง</t>
  </si>
  <si>
    <t>สพร. 3 (ทดแทน) สพก. 14 (ทดแทน) สสป 8 (ทดแทน) สปข 3 (ใหม่) 11 (ทดแทน) ฝบท 4 (ทดแทน) ฝบท 11 (ทดแทน)</t>
  </si>
  <si>
    <t xml:space="preserve">   2.1) เพิ่มประสิทธิภาพการจัดทำสารสนเทศต้นทุนฯ</t>
  </si>
  <si>
    <t xml:space="preserve">  2.4) เพิ่มประสิทธิภาพการประมาณการและติดตามภาวะฯ</t>
  </si>
  <si>
    <t xml:space="preserve">  2.2) จัดเก็บข้อมูลผลผลิตต่อไร่โดยวิธี Crop Cutting</t>
  </si>
  <si>
    <t xml:space="preserve">  2.3) จัดทำข้อมูลปริมาณการผลิตพืชเศรษฐกิจที่สำคัญฯ</t>
  </si>
  <si>
    <t xml:space="preserve">   2.5) ติดตามสถานการณ์การผลิตในระดับหมู่บ้านโดย ศกอ. 882 อ.</t>
  </si>
  <si>
    <t xml:space="preserve">   2.6) จัดทำข้อมูลกรอบตัวอย่างสำหรับสำรวจ โดย อกม.</t>
  </si>
  <si>
    <t xml:space="preserve">  2.7) จัดทำฐานข้อมูลฯ เกษตรปลอดภัย</t>
  </si>
  <si>
    <t xml:space="preserve">  2.8) การจัดทำฐานข้อมูลฯ เกษตรอัตลักษณ์พื้นถิ่น</t>
  </si>
  <si>
    <t xml:space="preserve">    2.9) การจัดทำข้อมูลไม้ผลเศรษฐกิจ</t>
  </si>
  <si>
    <t xml:space="preserve">   2.10) การยกระดับการสำรวจฯ แบบ Digital Survey</t>
  </si>
  <si>
    <t xml:space="preserve">  2.11) ศึกษาผลกระทบจากการเปลี่ยนแปลงสภาพอากาศฯ</t>
  </si>
  <si>
    <t>1. ก. จัดทำสารสนเทศเศรษฐกิจการเกษตร เพื่อสนับสนุนฯ</t>
  </si>
  <si>
    <t>2. ก. ประยุกต์ใช้เทคโนโลยีภูมิสารสนเทศฯ</t>
  </si>
  <si>
    <t xml:space="preserve">   2.2  ค.จัดซื้อครุภัณฑ์คอมพิวเตอร์เพื่อทดแทนและเพิ่มประสิทธิภาพของสำนักงานเศรษฐกิจการเกษตร</t>
  </si>
  <si>
    <t xml:space="preserve">     10) เครื่องเข้าเล่มเอกสาร (ฝบท. )</t>
  </si>
  <si>
    <t xml:space="preserve">     11) เครื่องเจาะรูเอกสาร  (ฝบท.)</t>
  </si>
  <si>
    <t xml:space="preserve">     12) โทรศัพท์ไร้สาย 8 เครื่อง (ฝบท.4 สกก. 4)</t>
  </si>
  <si>
    <t xml:space="preserve">     13) ตู้เหล็ก 2 บาน 3 หลัง (สพก.)</t>
  </si>
  <si>
    <t xml:space="preserve">       14) ตู้เหล็กบานเลื่อนกระจก 2 บาน (สปข. 1 ฝบท. 4)</t>
  </si>
  <si>
    <t xml:space="preserve">       15) ตู้เหล็กบานเลื่อน/ตู้เหล็กเก็บเอกสาร/ตู้เอกสาร 21 หลัง (สทส.)</t>
  </si>
  <si>
    <t xml:space="preserve">     16) ตู้เหล็กเก็บเอกสาร/ตู้ลิ้นชักมีล้อ 11 หลัง (ฝบท.)</t>
  </si>
  <si>
    <t xml:space="preserve"> ค.พัฒนาการบริหารจัดการด้านการเกษตร (กนผ.) </t>
  </si>
  <si>
    <t xml:space="preserve">    การจัดทำข้อมูลเศรษฐกิจสังคมครัวเรือนเกษตรฯ (Socio)</t>
  </si>
  <si>
    <t xml:space="preserve">3. งบรายจ่ายอื่น </t>
  </si>
  <si>
    <t xml:space="preserve">  1.1) ประยุกต์ใช้เทคโนโลยีภูมิสารสนเทศในการพยากรณ์ฯ</t>
  </si>
  <si>
    <t xml:space="preserve">   1.2) บรูณาการข้อมูลเชิงพื้นที่เนื้อที่เพาะปลูกพืชเศรษฐกิจฯ</t>
  </si>
  <si>
    <t xml:space="preserve">        การประยุกต์ใช้เทคโนโลยีภูมิสารสนเทศในการพยากรณ์ฯ (ครุภัณฑ์วิทยาศาสตร์)</t>
  </si>
  <si>
    <t>15.ค่าครุภัณฑ์คอมพิวเตอร์ Digital survey</t>
  </si>
  <si>
    <t>16. ค่าครุภัณฑ์วิทยาศาสตร์</t>
  </si>
  <si>
    <t>งบประมาณ 68 ทั้งปี (รวมงบลงทุน)</t>
  </si>
  <si>
    <t xml:space="preserve">     หัก โอนให้ สศท. 1-12</t>
  </si>
  <si>
    <t xml:space="preserve">     หัก กันผู้บริหาร 25%</t>
  </si>
  <si>
    <t xml:space="preserve">     หัก ค่าสาธารณูปโภค     </t>
  </si>
  <si>
    <t>มีค่าเช่าสาย ค่าโทรศัพท์ ค่าไปรษณีย์ ให้เบิกที่ส่วนกลาง</t>
  </si>
  <si>
    <t>คงเหลือ หลังหักค่าใช้จ่าย</t>
  </si>
  <si>
    <t>ประกอบด้วย</t>
  </si>
  <si>
    <t xml:space="preserve">   1. MA</t>
  </si>
  <si>
    <t xml:space="preserve">  2. งบลงทุน (6,065,600+951,300)</t>
  </si>
  <si>
    <t>3. งบดำเนินงานสุทธิ</t>
  </si>
  <si>
    <t>(ไม่รวม ma ไม่รวมค่าสาธาฯ)</t>
  </si>
  <si>
    <t>งบประมาณ 68  (6 เดือน)</t>
  </si>
  <si>
    <t>ยอดงบดำเนินงานรวม MA</t>
  </si>
  <si>
    <t>ยอดรวมจัดสรรบริหารรวมส่วนฝ่าย</t>
  </si>
  <si>
    <t xml:space="preserve"> 2.7 ค่าใช้จ่ายอื่นๆ</t>
  </si>
  <si>
    <t>งบได้ดำเนินรวม MA</t>
  </si>
  <si>
    <t>ประกอบด้วย 3 รายการ (ส่วนฝ่าย ma ส่วนกลาง)</t>
  </si>
  <si>
    <t>คชจ.ต้นทุน</t>
  </si>
  <si>
    <t>คชจ.Crop cutting</t>
  </si>
  <si>
    <t>คชจ.จัดทำข้อมูลพืชเศรษฐกิจสำคัญฯ</t>
  </si>
  <si>
    <t>คชจ.เพิ่มประสิทธิภาพติดตามภาวะฯ</t>
  </si>
  <si>
    <t>คชจ.ติดตามสถานการณ์โดย ศกอ. 882 อ.</t>
  </si>
  <si>
    <t>คชจ.จัดทำข้อมูลกรอบตัวอย่างสำหรับสำรวจ โดย อกม.</t>
  </si>
  <si>
    <t>คชจ.จัดทำฐานข้อมูลฯ เกษตรปลอดภัย</t>
  </si>
  <si>
    <t>คชจ.การจัดทำฐานข้อมูลฯ เกษตรอัตลักษณ์พื้นถิ่น</t>
  </si>
  <si>
    <t>คชจ.การจัดทำข้อมูลไม้ผลเศรษฐกิจ</t>
  </si>
  <si>
    <t>คชจ.การยกระดับการสำรวจฯ แบบ Digital Survey</t>
  </si>
  <si>
    <t>คชจ.การศึกษาผลกระทบจากการเปลี่ยนแปลงสภาพอากาศฯ</t>
  </si>
  <si>
    <t>คชจ.ประยุกต์ใช้เทคโนโลยีฯ</t>
  </si>
  <si>
    <t>คชจ.บูรณาการข้อมูลเชิงพื้นที่ฯ</t>
  </si>
  <si>
    <t>Single Maps</t>
  </si>
  <si>
    <t xml:space="preserve"> แผนงานพื้นฐานานการสร้างความสามารถในการแข่งขัน</t>
  </si>
  <si>
    <t xml:space="preserve">  แผนงานยุทธศาสตร์เกษตรสร้างมูลค่า</t>
  </si>
  <si>
    <t>1. งบดำเนินงาน (หลังหัก 20%)</t>
  </si>
  <si>
    <t xml:space="preserve">   1.1 งานพื้นฐาน (งานสถิติ) (หลังหัก 20%)</t>
  </si>
  <si>
    <t xml:space="preserve">   1.2 จ้างบำรุงรักษาและซ่อมแซมแก้ไขอุปกรณ์เครือข่าย (MA)</t>
  </si>
  <si>
    <t xml:space="preserve"> 2. งบลงทุน</t>
  </si>
  <si>
    <t xml:space="preserve">    2.1 ครุภัณฑ์สำนักงาน</t>
  </si>
  <si>
    <t xml:space="preserve">       2) ตู้ทำน้ำร้อน (สพก.)</t>
  </si>
  <si>
    <t xml:space="preserve">       1) ปั๊มน้ำ 2 ตัว (ฝบท.)</t>
  </si>
  <si>
    <t xml:space="preserve">       3) พัดลม (สพส. 4 ตัว สปข. 3 ตัว)</t>
  </si>
  <si>
    <t xml:space="preserve">       4) กล้องเวฟแคม (สพส.)</t>
  </si>
  <si>
    <t xml:space="preserve">       5) ถังดับเพลิง 4 ถัง (ฝบท.)</t>
  </si>
  <si>
    <t xml:space="preserve">          6)  เครื่องปรับอากาศ 36,000 BTU 3 ตัว (สกก.)/30,000 BTU (สพก. 1 สทส. 3)</t>
  </si>
  <si>
    <t xml:space="preserve">       7) เก้าอี้สำนักงานหุ้มหนัง 54 ตัว</t>
  </si>
  <si>
    <t xml:space="preserve">       8) เครื่องเย็บกระดาษ 3 ตัว (ฝบท. 2 สปร. 1)</t>
  </si>
  <si>
    <t xml:space="preserve">      9) เครื่องทำลายเอกสาร 3 ตัว (ฝบท. สภท. สปร. )</t>
  </si>
  <si>
    <t xml:space="preserve">      1.3) จัดทำแผนที่แสดงเนื้อที่เพาะปลูก/ยืนต้นพืชเศรษฐกิจเชิงเดี่ยว (Single Maps) </t>
  </si>
  <si>
    <t>ส่วนกลาง (ค่าจ้างเหมา)</t>
  </si>
  <si>
    <t>ส่วนกลาง (ค่าจ้างเหมา)  ฝบท.</t>
  </si>
  <si>
    <t>socio</t>
  </si>
  <si>
    <t xml:space="preserve">งบประมาณที่ได้รับ </t>
  </si>
  <si>
    <t>งบได้รับรวมทุกงบ</t>
  </si>
  <si>
    <t>ตรงกับยอดการเงินแล้ว</t>
  </si>
  <si>
    <t>16. ครุภัณฑ์คอมพิวเตอร์</t>
  </si>
  <si>
    <t xml:space="preserve">       การยกระดับการสำรวจฯ แบบ Digital Survey 
(ครุภัณฑ์คอมฯ) (สพส.)</t>
  </si>
  <si>
    <t>คงเหลือ ปัจจุบันไม่รวม ma</t>
  </si>
  <si>
    <t>ตารางที่ 5 สรุปค่าใช้จ่ายงบประมาณ ปี 2568  ระหว่าง 1 ตุลาคม 67 ถึง 30 กันยายน 68 (หลังหักเงินกัน 20 %)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</si>
</sst>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#,##0_ ;\-#,##0\ "/>
    <numFmt numFmtId="190" formatCode="#,##0.00_ ;\-#,##0.00\ "/>
    <numFmt numFmtId="191" formatCode="_-* #,##0.00000000000000_-;\-* #,##0.00000000000000_-;_-* &quot;-&quot;??_-;_-@_-"/>
    <numFmt numFmtId="192" formatCode="_-* #,##0.0_-;\-* #,##0.0_-;_-* &quot;-&quot;??_-;_-@_-"/>
    <numFmt numFmtId="193" formatCode="_-* #,##0.000_-;\-* #,##0.000_-;_-* &quot;-&quot;??_-;_-@_-"/>
    <numFmt numFmtId="194" formatCode="_-* #,##0.0000_-;\-* #,##0.0000_-;_-* &quot;-&quot;??_-;_-@_-"/>
    <numFmt numFmtId="195" formatCode="[$-107041E]d\ mmm\ yy;@"/>
    <numFmt numFmtId="196" formatCode="_-* #,##0.0000000_-;\-* #,##0.0000000_-;_-* &quot;-&quot;??_-;_-@_-"/>
    <numFmt numFmtId="197" formatCode="[$-107041E]d\ mmmm\ yyyy;@"/>
    <numFmt numFmtId="198" formatCode="_(* #,##0_);_(* \(#,##0\);_(* &quot;-&quot;??_);_(@_)"/>
    <numFmt numFmtId="199" formatCode="[$-D07041E]d\ mmm\ yy;@"/>
    <numFmt numFmtId="200" formatCode="_-* #,##0.00_-;\-* #,##0.00_-;_-* &quot;-&quot;_-;_-@_-"/>
  </numFmts>
  <fonts count="9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6"/>
      <name val="Angsana New"/>
      <family val="1"/>
    </font>
    <font>
      <sz val="16"/>
      <name val="Cordia New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sz val="14"/>
      <name val="Angsana New"/>
      <family val="1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Wingdings 2"/>
      <family val="1"/>
      <charset val="2"/>
    </font>
    <font>
      <sz val="15"/>
      <name val="Wingdings 2"/>
      <family val="1"/>
      <charset val="2"/>
    </font>
    <font>
      <sz val="15"/>
      <name val="Calibri"/>
      <family val="2"/>
    </font>
    <font>
      <b/>
      <u/>
      <sz val="14"/>
      <name val="TH SarabunPSK"/>
      <family val="2"/>
    </font>
    <font>
      <sz val="13"/>
      <name val="Cordia New"/>
      <family val="2"/>
    </font>
    <font>
      <b/>
      <sz val="9"/>
      <name val="TH SarabunPSK"/>
      <family val="2"/>
    </font>
    <font>
      <sz val="12.5"/>
      <name val="TH SarabunPSK"/>
      <family val="2"/>
    </font>
    <font>
      <u val="singleAccounting"/>
      <sz val="12"/>
      <name val="TH SarabunPSK"/>
      <family val="2"/>
    </font>
    <font>
      <u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3"/>
      <name val="TH SarabunPSK"/>
      <family val="2"/>
    </font>
    <font>
      <b/>
      <u val="singleAccounting"/>
      <sz val="12"/>
      <name val="TH SarabunPSK"/>
      <family val="2"/>
    </font>
    <font>
      <b/>
      <u val="singleAccounting"/>
      <sz val="14"/>
      <name val="TH SarabunPSK"/>
      <family val="2"/>
    </font>
    <font>
      <sz val="10"/>
      <name val="Arial"/>
      <family val="2"/>
    </font>
    <font>
      <b/>
      <sz val="14"/>
      <name val="Tahoma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1"/>
      <color indexed="8"/>
      <name val="TH SarabunPSK"/>
      <family val="2"/>
    </font>
    <font>
      <b/>
      <sz val="11"/>
      <color indexed="8"/>
      <name val="TH SarabunPSK"/>
      <family val="2"/>
    </font>
    <font>
      <b/>
      <sz val="14"/>
      <color indexed="48"/>
      <name val="TH SarabunPSK"/>
      <family val="2"/>
    </font>
    <font>
      <b/>
      <sz val="14"/>
      <color indexed="53"/>
      <name val="TH SarabunPSK"/>
      <family val="2"/>
    </font>
    <font>
      <b/>
      <sz val="11"/>
      <name val="TH SarabunPSK"/>
      <family val="2"/>
    </font>
    <font>
      <sz val="18"/>
      <name val="TH SarabunIT๙"/>
      <family val="2"/>
    </font>
    <font>
      <b/>
      <sz val="18"/>
      <name val="TH SarabunIT๙"/>
      <family val="2"/>
    </font>
    <font>
      <sz val="11"/>
      <color theme="1"/>
      <name val="Tahoma"/>
      <family val="2"/>
      <scheme val="minor"/>
    </font>
    <font>
      <b/>
      <sz val="16"/>
      <color rgb="FFFF0000"/>
      <name val="Angsana New"/>
      <family val="1"/>
    </font>
    <font>
      <sz val="16"/>
      <color rgb="FFC00000"/>
      <name val="Angsana New"/>
      <family val="1"/>
    </font>
    <font>
      <sz val="15"/>
      <color theme="0"/>
      <name val="TH SarabunPSK"/>
      <family val="2"/>
    </font>
    <font>
      <sz val="14"/>
      <color theme="0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sz val="13"/>
      <color rgb="FFFF0000"/>
      <name val="TH SarabunPSK"/>
      <family val="2"/>
    </font>
    <font>
      <sz val="14"/>
      <color rgb="FF00B050"/>
      <name val="TH SarabunPSK"/>
      <family val="2"/>
    </font>
    <font>
      <b/>
      <sz val="14"/>
      <color rgb="FFFF0000"/>
      <name val="TH SarabunPSK"/>
      <family val="2"/>
    </font>
    <font>
      <sz val="12"/>
      <color theme="0"/>
      <name val="TH SarabunPSK"/>
      <family val="2"/>
    </font>
    <font>
      <sz val="16"/>
      <color theme="1"/>
      <name val="TH SarabunPSK"/>
      <family val="2"/>
    </font>
    <font>
      <sz val="13"/>
      <color rgb="FFFF0000"/>
      <name val="Cordia New"/>
      <family val="2"/>
    </font>
    <font>
      <sz val="13"/>
      <color theme="1"/>
      <name val="TH SarabunPSK"/>
      <family val="2"/>
    </font>
    <font>
      <b/>
      <sz val="13"/>
      <color rgb="FFFF0000"/>
      <name val="TH SarabunPSK"/>
      <family val="2"/>
    </font>
    <font>
      <b/>
      <sz val="12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2"/>
      <color theme="0"/>
      <name val="TH SarabunPSK"/>
      <family val="2"/>
    </font>
    <font>
      <b/>
      <sz val="13"/>
      <color theme="1"/>
      <name val="TH SarabunPSK"/>
      <family val="2"/>
    </font>
    <font>
      <sz val="11"/>
      <color theme="1"/>
      <name val="TH SarabunPSK"/>
      <family val="2"/>
    </font>
    <font>
      <b/>
      <sz val="14"/>
      <color theme="0"/>
      <name val="TH SarabunPSK"/>
      <family val="2"/>
    </font>
    <font>
      <sz val="11"/>
      <color rgb="FFFF0000"/>
      <name val="TH SarabunPSK"/>
      <family val="2"/>
    </font>
    <font>
      <b/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u/>
      <sz val="16"/>
      <color theme="1"/>
      <name val="Angsana New"/>
      <family val="1"/>
    </font>
    <font>
      <sz val="16"/>
      <color rgb="FFFF0000"/>
      <name val="TH SarabunPSK"/>
      <family val="2"/>
    </font>
    <font>
      <b/>
      <sz val="10"/>
      <name val="TH SarabunPSK"/>
      <family val="2"/>
    </font>
    <font>
      <b/>
      <sz val="18"/>
      <color theme="0"/>
      <name val="TH SarabunPSK"/>
      <family val="2"/>
    </font>
    <font>
      <b/>
      <sz val="18"/>
      <name val="TH SarabunPSK"/>
      <family val="2"/>
    </font>
    <font>
      <b/>
      <sz val="14"/>
      <color theme="4" tint="0.59999389629810485"/>
      <name val="TH SarabunPSK"/>
      <family val="2"/>
    </font>
    <font>
      <b/>
      <sz val="13"/>
      <name val="TH SarabunPSK"/>
      <family val="2"/>
      <charset val="222"/>
    </font>
    <font>
      <b/>
      <sz val="14"/>
      <name val="TH SarabunPSK"/>
      <family val="2"/>
      <charset val="222"/>
    </font>
    <font>
      <i/>
      <sz val="14"/>
      <name val="TH SarabunPSK"/>
      <family val="2"/>
    </font>
    <font>
      <i/>
      <sz val="14"/>
      <color rgb="FFFF0000"/>
      <name val="TH SarabunPSK"/>
      <family val="2"/>
    </font>
    <font>
      <b/>
      <i/>
      <sz val="14"/>
      <color rgb="FFFF0000"/>
      <name val="TH SarabunPSK"/>
      <family val="2"/>
    </font>
    <font>
      <i/>
      <sz val="12"/>
      <name val="TH SarabunPSK"/>
      <family val="2"/>
    </font>
    <font>
      <i/>
      <sz val="12"/>
      <color rgb="FFFF0000"/>
      <name val="TH SarabunPSK"/>
      <family val="2"/>
    </font>
    <font>
      <b/>
      <i/>
      <sz val="12"/>
      <name val="TH SarabunPSK"/>
      <family val="2"/>
    </font>
    <font>
      <b/>
      <sz val="14"/>
      <color rgb="FFFF0000"/>
      <name val="TH SarabunPSK"/>
      <family val="2"/>
      <charset val="222"/>
    </font>
    <font>
      <b/>
      <u val="singleAccounting"/>
      <sz val="13"/>
      <name val="TH SarabunPSK"/>
      <family val="2"/>
    </font>
    <font>
      <sz val="9"/>
      <name val="TH SarabunPSK"/>
      <family val="2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E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A2D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3F6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C9EE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B050"/>
        <bgColor indexed="64"/>
      </patternFill>
    </fill>
  </fills>
  <borders count="2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187" fontId="34" fillId="0" borderId="0" applyFont="0" applyFill="0" applyBorder="0" applyAlignment="0" applyProtection="0"/>
    <xf numFmtId="0" fontId="1" fillId="0" borderId="0"/>
    <xf numFmtId="0" fontId="34" fillId="0" borderId="0"/>
    <xf numFmtId="0" fontId="45" fillId="0" borderId="0"/>
    <xf numFmtId="0" fontId="45" fillId="0" borderId="0"/>
  </cellStyleXfs>
  <cellXfs count="3572">
    <xf numFmtId="0" fontId="0" fillId="0" borderId="0" xfId="0"/>
    <xf numFmtId="188" fontId="5" fillId="0" borderId="1" xfId="1" applyNumberFormat="1" applyFont="1" applyBorder="1" applyAlignment="1">
      <alignment horizontal="center" vertical="center"/>
    </xf>
    <xf numFmtId="188" fontId="6" fillId="0" borderId="0" xfId="1" applyNumberFormat="1" applyFont="1"/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88" fontId="7" fillId="2" borderId="6" xfId="1" applyNumberFormat="1" applyFont="1" applyFill="1" applyBorder="1" applyAlignment="1">
      <alignment horizontal="center" vertical="center"/>
    </xf>
    <xf numFmtId="188" fontId="7" fillId="0" borderId="2" xfId="1" applyNumberFormat="1" applyFont="1" applyBorder="1" applyAlignment="1">
      <alignment horizontal="center" vertical="center"/>
    </xf>
    <xf numFmtId="188" fontId="7" fillId="0" borderId="3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8" fontId="7" fillId="2" borderId="7" xfId="1" applyNumberFormat="1" applyFont="1" applyFill="1" applyBorder="1" applyAlignment="1">
      <alignment horizontal="center" vertical="center"/>
    </xf>
    <xf numFmtId="188" fontId="7" fillId="0" borderId="8" xfId="1" applyNumberFormat="1" applyFont="1" applyBorder="1" applyAlignment="1">
      <alignment horizontal="center" vertical="center"/>
    </xf>
    <xf numFmtId="0" fontId="7" fillId="0" borderId="4" xfId="0" applyFont="1" applyBorder="1"/>
    <xf numFmtId="188" fontId="7" fillId="0" borderId="0" xfId="0" applyNumberFormat="1" applyFont="1"/>
    <xf numFmtId="0" fontId="7" fillId="0" borderId="0" xfId="0" applyFont="1"/>
    <xf numFmtId="0" fontId="6" fillId="0" borderId="9" xfId="0" applyFont="1" applyBorder="1"/>
    <xf numFmtId="188" fontId="6" fillId="0" borderId="0" xfId="0" applyNumberFormat="1" applyFont="1"/>
    <xf numFmtId="43" fontId="7" fillId="0" borderId="0" xfId="1" applyFont="1" applyBorder="1"/>
    <xf numFmtId="0" fontId="6" fillId="0" borderId="4" xfId="0" applyFont="1" applyBorder="1" applyAlignment="1">
      <alignment horizontal="left"/>
    </xf>
    <xf numFmtId="0" fontId="7" fillId="0" borderId="10" xfId="0" applyFont="1" applyBorder="1" applyAlignment="1">
      <alignment horizontal="center"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8" fontId="6" fillId="0" borderId="0" xfId="0" applyNumberFormat="1" applyFont="1" applyAlignment="1">
      <alignment horizontal="left" vertical="center"/>
    </xf>
    <xf numFmtId="188" fontId="7" fillId="2" borderId="0" xfId="0" applyNumberFormat="1" applyFont="1" applyFill="1" applyAlignment="1">
      <alignment horizontal="center" vertical="center"/>
    </xf>
    <xf numFmtId="188" fontId="7" fillId="0" borderId="0" xfId="1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8" fillId="0" borderId="0" xfId="0" applyFont="1"/>
    <xf numFmtId="188" fontId="5" fillId="0" borderId="11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188" fontId="5" fillId="0" borderId="4" xfId="1" applyNumberFormat="1" applyFont="1" applyBorder="1"/>
    <xf numFmtId="188" fontId="5" fillId="0" borderId="10" xfId="1" applyNumberFormat="1" applyFont="1" applyBorder="1"/>
    <xf numFmtId="0" fontId="5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188" fontId="8" fillId="0" borderId="4" xfId="1" applyNumberFormat="1" applyFont="1" applyBorder="1"/>
    <xf numFmtId="2" fontId="6" fillId="0" borderId="0" xfId="0" applyNumberFormat="1" applyFont="1" applyAlignment="1">
      <alignment vertical="center"/>
    </xf>
    <xf numFmtId="188" fontId="4" fillId="0" borderId="0" xfId="4" applyNumberFormat="1" applyFont="1"/>
    <xf numFmtId="43" fontId="6" fillId="0" borderId="0" xfId="1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88" fontId="5" fillId="0" borderId="5" xfId="1" applyNumberFormat="1" applyFont="1" applyBorder="1" applyAlignment="1">
      <alignment horizontal="center" vertical="center"/>
    </xf>
    <xf numFmtId="188" fontId="5" fillId="2" borderId="0" xfId="1" applyNumberFormat="1" applyFont="1" applyFill="1" applyBorder="1" applyAlignment="1">
      <alignment horizontal="center" vertical="center"/>
    </xf>
    <xf numFmtId="188" fontId="5" fillId="0" borderId="8" xfId="1" applyNumberFormat="1" applyFont="1" applyBorder="1"/>
    <xf numFmtId="43" fontId="5" fillId="0" borderId="7" xfId="1" applyFont="1" applyBorder="1"/>
    <xf numFmtId="188" fontId="8" fillId="0" borderId="5" xfId="1" applyNumberFormat="1" applyFont="1" applyBorder="1"/>
    <xf numFmtId="3" fontId="8" fillId="2" borderId="5" xfId="1" applyNumberFormat="1" applyFont="1" applyFill="1" applyBorder="1"/>
    <xf numFmtId="188" fontId="5" fillId="0" borderId="5" xfId="1" applyNumberFormat="1" applyFont="1" applyBorder="1"/>
    <xf numFmtId="43" fontId="5" fillId="0" borderId="11" xfId="1" applyFont="1" applyBorder="1"/>
    <xf numFmtId="3" fontId="5" fillId="3" borderId="5" xfId="1" applyNumberFormat="1" applyFont="1" applyFill="1" applyBorder="1"/>
    <xf numFmtId="3" fontId="5" fillId="2" borderId="5" xfId="1" applyNumberFormat="1" applyFont="1" applyFill="1" applyBorder="1"/>
    <xf numFmtId="3" fontId="5" fillId="0" borderId="5" xfId="0" applyNumberFormat="1" applyFont="1" applyBorder="1"/>
    <xf numFmtId="3" fontId="5" fillId="0" borderId="8" xfId="0" applyNumberFormat="1" applyFont="1" applyBorder="1"/>
    <xf numFmtId="43" fontId="5" fillId="0" borderId="0" xfId="1" applyFont="1" applyBorder="1"/>
    <xf numFmtId="188" fontId="5" fillId="0" borderId="12" xfId="0" applyNumberFormat="1" applyFont="1" applyBorder="1" applyAlignment="1">
      <alignment horizontal="center" vertical="center"/>
    </xf>
    <xf numFmtId="43" fontId="5" fillId="0" borderId="13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88" fontId="8" fillId="0" borderId="0" xfId="0" applyNumberFormat="1" applyFont="1" applyAlignment="1">
      <alignment horizontal="left" vertical="center"/>
    </xf>
    <xf numFmtId="188" fontId="5" fillId="0" borderId="0" xfId="0" applyNumberFormat="1" applyFont="1" applyAlignment="1">
      <alignment vertical="center"/>
    </xf>
    <xf numFmtId="43" fontId="8" fillId="0" borderId="2" xfId="1" applyFont="1" applyBorder="1"/>
    <xf numFmtId="43" fontId="8" fillId="0" borderId="4" xfId="1" applyFont="1" applyBorder="1"/>
    <xf numFmtId="188" fontId="8" fillId="0" borderId="0" xfId="1" applyNumberFormat="1" applyFont="1" applyBorder="1"/>
    <xf numFmtId="43" fontId="7" fillId="0" borderId="0" xfId="1" applyFont="1"/>
    <xf numFmtId="43" fontId="6" fillId="0" borderId="0" xfId="1" applyFont="1" applyAlignment="1">
      <alignment horizontal="left"/>
    </xf>
    <xf numFmtId="43" fontId="6" fillId="0" borderId="0" xfId="1" applyFont="1" applyBorder="1"/>
    <xf numFmtId="43" fontId="6" fillId="0" borderId="0" xfId="1" applyFont="1" applyAlignment="1">
      <alignment horizontal="center"/>
    </xf>
    <xf numFmtId="43" fontId="7" fillId="0" borderId="0" xfId="1" applyFont="1" applyAlignment="1">
      <alignment vertical="center"/>
    </xf>
    <xf numFmtId="188" fontId="5" fillId="0" borderId="2" xfId="1" applyNumberFormat="1" applyFont="1" applyBorder="1"/>
    <xf numFmtId="43" fontId="6" fillId="0" borderId="0" xfId="0" applyNumberFormat="1" applyFont="1"/>
    <xf numFmtId="191" fontId="6" fillId="0" borderId="0" xfId="1" applyNumberFormat="1" applyFont="1" applyBorder="1"/>
    <xf numFmtId="43" fontId="7" fillId="0" borderId="0" xfId="0" applyNumberFormat="1" applyFont="1"/>
    <xf numFmtId="188" fontId="8" fillId="0" borderId="4" xfId="1" applyNumberFormat="1" applyFont="1" applyFill="1" applyBorder="1"/>
    <xf numFmtId="43" fontId="8" fillId="0" borderId="4" xfId="1" applyFont="1" applyFill="1" applyBorder="1"/>
    <xf numFmtId="3" fontId="8" fillId="0" borderId="5" xfId="1" applyNumberFormat="1" applyFont="1" applyFill="1" applyBorder="1"/>
    <xf numFmtId="43" fontId="8" fillId="0" borderId="0" xfId="1" applyFont="1" applyFill="1"/>
    <xf numFmtId="3" fontId="9" fillId="0" borderId="0" xfId="0" applyNumberFormat="1" applyFont="1"/>
    <xf numFmtId="3" fontId="9" fillId="0" borderId="0" xfId="1" applyNumberFormat="1" applyFont="1"/>
    <xf numFmtId="3" fontId="9" fillId="0" borderId="0" xfId="1" applyNumberFormat="1" applyFont="1" applyBorder="1"/>
    <xf numFmtId="3" fontId="10" fillId="0" borderId="0" xfId="0" applyNumberFormat="1" applyFont="1"/>
    <xf numFmtId="3" fontId="9" fillId="0" borderId="15" xfId="1" applyNumberFormat="1" applyFont="1" applyBorder="1"/>
    <xf numFmtId="3" fontId="11" fillId="0" borderId="4" xfId="0" applyNumberFormat="1" applyFont="1" applyBorder="1" applyAlignment="1">
      <alignment horizontal="center" vertical="center"/>
    </xf>
    <xf numFmtId="3" fontId="11" fillId="0" borderId="16" xfId="1" applyNumberFormat="1" applyFont="1" applyBorder="1" applyAlignment="1">
      <alignment horizontal="center" vertical="center"/>
    </xf>
    <xf numFmtId="3" fontId="11" fillId="0" borderId="17" xfId="1" applyNumberFormat="1" applyFont="1" applyBorder="1" applyAlignment="1">
      <alignment horizontal="center" vertical="center"/>
    </xf>
    <xf numFmtId="3" fontId="11" fillId="0" borderId="10" xfId="1" applyNumberFormat="1" applyFont="1" applyBorder="1" applyAlignment="1">
      <alignment horizontal="center" vertical="center"/>
    </xf>
    <xf numFmtId="3" fontId="11" fillId="0" borderId="18" xfId="1" applyNumberFormat="1" applyFont="1" applyBorder="1" applyAlignment="1">
      <alignment horizontal="center" vertical="center"/>
    </xf>
    <xf numFmtId="3" fontId="11" fillId="4" borderId="15" xfId="1" applyNumberFormat="1" applyFont="1" applyFill="1" applyBorder="1" applyAlignment="1">
      <alignment horizontal="center" vertical="center"/>
    </xf>
    <xf numFmtId="3" fontId="11" fillId="4" borderId="1" xfId="1" applyNumberFormat="1" applyFont="1" applyFill="1" applyBorder="1" applyAlignment="1">
      <alignment horizontal="center" vertical="center"/>
    </xf>
    <xf numFmtId="3" fontId="11" fillId="4" borderId="7" xfId="1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3" fontId="11" fillId="5" borderId="20" xfId="1" applyNumberFormat="1" applyFont="1" applyFill="1" applyBorder="1" applyAlignment="1">
      <alignment horizontal="center"/>
    </xf>
    <xf numFmtId="3" fontId="11" fillId="0" borderId="21" xfId="0" applyNumberFormat="1" applyFont="1" applyBorder="1" applyAlignment="1">
      <alignment horizontal="center" vertical="center"/>
    </xf>
    <xf numFmtId="3" fontId="11" fillId="5" borderId="22" xfId="1" applyNumberFormat="1" applyFont="1" applyFill="1" applyBorder="1" applyAlignment="1">
      <alignment horizontal="center"/>
    </xf>
    <xf numFmtId="3" fontId="11" fillId="4" borderId="4" xfId="0" applyNumberFormat="1" applyFont="1" applyFill="1" applyBorder="1" applyAlignment="1">
      <alignment horizontal="center" vertical="center"/>
    </xf>
    <xf numFmtId="3" fontId="11" fillId="4" borderId="11" xfId="0" applyNumberFormat="1" applyFont="1" applyFill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3" fontId="11" fillId="6" borderId="23" xfId="0" applyNumberFormat="1" applyFont="1" applyFill="1" applyBorder="1" applyAlignment="1">
      <alignment horizontal="center" vertical="center"/>
    </xf>
    <xf numFmtId="3" fontId="11" fillId="6" borderId="24" xfId="0" applyNumberFormat="1" applyFont="1" applyFill="1" applyBorder="1" applyAlignment="1">
      <alignment horizontal="center" vertical="center"/>
    </xf>
    <xf numFmtId="3" fontId="11" fillId="6" borderId="11" xfId="0" applyNumberFormat="1" applyFont="1" applyFill="1" applyBorder="1" applyAlignment="1">
      <alignment horizontal="center" vertical="center"/>
    </xf>
    <xf numFmtId="3" fontId="11" fillId="6" borderId="4" xfId="0" applyNumberFormat="1" applyFont="1" applyFill="1" applyBorder="1" applyAlignment="1">
      <alignment horizontal="center" vertical="center"/>
    </xf>
    <xf numFmtId="3" fontId="11" fillId="5" borderId="4" xfId="1" applyNumberFormat="1" applyFont="1" applyFill="1" applyBorder="1" applyAlignment="1">
      <alignment horizontal="center"/>
    </xf>
    <xf numFmtId="3" fontId="11" fillId="7" borderId="25" xfId="0" applyNumberFormat="1" applyFont="1" applyFill="1" applyBorder="1" applyAlignment="1">
      <alignment horizontal="center"/>
    </xf>
    <xf numFmtId="3" fontId="11" fillId="7" borderId="26" xfId="0" applyNumberFormat="1" applyFont="1" applyFill="1" applyBorder="1" applyAlignment="1">
      <alignment horizontal="center"/>
    </xf>
    <xf numFmtId="3" fontId="11" fillId="5" borderId="27" xfId="0" applyNumberFormat="1" applyFont="1" applyFill="1" applyBorder="1" applyAlignment="1">
      <alignment horizontal="center"/>
    </xf>
    <xf numFmtId="3" fontId="46" fillId="5" borderId="27" xfId="0" applyNumberFormat="1" applyFont="1" applyFill="1" applyBorder="1" applyAlignment="1">
      <alignment horizontal="center"/>
    </xf>
    <xf numFmtId="3" fontId="9" fillId="7" borderId="28" xfId="0" applyNumberFormat="1" applyFont="1" applyFill="1" applyBorder="1"/>
    <xf numFmtId="3" fontId="9" fillId="7" borderId="29" xfId="0" applyNumberFormat="1" applyFont="1" applyFill="1" applyBorder="1"/>
    <xf numFmtId="3" fontId="11" fillId="7" borderId="28" xfId="0" applyNumberFormat="1" applyFont="1" applyFill="1" applyBorder="1" applyAlignment="1">
      <alignment horizontal="center"/>
    </xf>
    <xf numFmtId="3" fontId="9" fillId="7" borderId="30" xfId="0" applyNumberFormat="1" applyFont="1" applyFill="1" applyBorder="1"/>
    <xf numFmtId="3" fontId="9" fillId="7" borderId="25" xfId="0" applyNumberFormat="1" applyFont="1" applyFill="1" applyBorder="1"/>
    <xf numFmtId="3" fontId="9" fillId="5" borderId="25" xfId="0" applyNumberFormat="1" applyFont="1" applyFill="1" applyBorder="1"/>
    <xf numFmtId="3" fontId="9" fillId="5" borderId="27" xfId="0" applyNumberFormat="1" applyFont="1" applyFill="1" applyBorder="1"/>
    <xf numFmtId="3" fontId="11" fillId="5" borderId="31" xfId="0" applyNumberFormat="1" applyFont="1" applyFill="1" applyBorder="1"/>
    <xf numFmtId="3" fontId="11" fillId="5" borderId="32" xfId="0" applyNumberFormat="1" applyFont="1" applyFill="1" applyBorder="1"/>
    <xf numFmtId="3" fontId="11" fillId="5" borderId="33" xfId="0" applyNumberFormat="1" applyFont="1" applyFill="1" applyBorder="1"/>
    <xf numFmtId="3" fontId="11" fillId="5" borderId="34" xfId="0" applyNumberFormat="1" applyFont="1" applyFill="1" applyBorder="1"/>
    <xf numFmtId="41" fontId="11" fillId="5" borderId="34" xfId="0" applyNumberFormat="1" applyFont="1" applyFill="1" applyBorder="1"/>
    <xf numFmtId="41" fontId="9" fillId="5" borderId="35" xfId="0" applyNumberFormat="1" applyFont="1" applyFill="1" applyBorder="1"/>
    <xf numFmtId="3" fontId="9" fillId="5" borderId="36" xfId="0" applyNumberFormat="1" applyFont="1" applyFill="1" applyBorder="1"/>
    <xf numFmtId="41" fontId="9" fillId="5" borderId="36" xfId="0" applyNumberFormat="1" applyFont="1" applyFill="1" applyBorder="1"/>
    <xf numFmtId="41" fontId="9" fillId="5" borderId="37" xfId="0" applyNumberFormat="1" applyFont="1" applyFill="1" applyBorder="1"/>
    <xf numFmtId="3" fontId="11" fillId="5" borderId="38" xfId="0" applyNumberFormat="1" applyFont="1" applyFill="1" applyBorder="1"/>
    <xf numFmtId="3" fontId="9" fillId="5" borderId="39" xfId="0" applyNumberFormat="1" applyFont="1" applyFill="1" applyBorder="1"/>
    <xf numFmtId="3" fontId="9" fillId="5" borderId="40" xfId="0" applyNumberFormat="1" applyFont="1" applyFill="1" applyBorder="1"/>
    <xf numFmtId="3" fontId="11" fillId="5" borderId="40" xfId="0" applyNumberFormat="1" applyFont="1" applyFill="1" applyBorder="1"/>
    <xf numFmtId="3" fontId="11" fillId="5" borderId="41" xfId="0" applyNumberFormat="1" applyFont="1" applyFill="1" applyBorder="1"/>
    <xf numFmtId="3" fontId="9" fillId="0" borderId="35" xfId="0" applyNumberFormat="1" applyFont="1" applyBorder="1"/>
    <xf numFmtId="3" fontId="9" fillId="0" borderId="42" xfId="0" applyNumberFormat="1" applyFont="1" applyBorder="1"/>
    <xf numFmtId="41" fontId="9" fillId="0" borderId="35" xfId="0" applyNumberFormat="1" applyFont="1" applyBorder="1"/>
    <xf numFmtId="41" fontId="9" fillId="0" borderId="43" xfId="0" applyNumberFormat="1" applyFont="1" applyBorder="1"/>
    <xf numFmtId="3" fontId="9" fillId="0" borderId="43" xfId="0" applyNumberFormat="1" applyFont="1" applyBorder="1"/>
    <xf numFmtId="3" fontId="47" fillId="5" borderId="44" xfId="0" applyNumberFormat="1" applyFont="1" applyFill="1" applyBorder="1"/>
    <xf numFmtId="3" fontId="9" fillId="5" borderId="44" xfId="0" applyNumberFormat="1" applyFont="1" applyFill="1" applyBorder="1"/>
    <xf numFmtId="41" fontId="9" fillId="5" borderId="44" xfId="0" applyNumberFormat="1" applyFont="1" applyFill="1" applyBorder="1"/>
    <xf numFmtId="41" fontId="9" fillId="4" borderId="35" xfId="0" applyNumberFormat="1" applyFont="1" applyFill="1" applyBorder="1"/>
    <xf numFmtId="3" fontId="9" fillId="0" borderId="45" xfId="0" applyNumberFormat="1" applyFont="1" applyBorder="1"/>
    <xf numFmtId="41" fontId="9" fillId="0" borderId="45" xfId="0" applyNumberFormat="1" applyFont="1" applyBorder="1"/>
    <xf numFmtId="41" fontId="9" fillId="0" borderId="46" xfId="0" applyNumberFormat="1" applyFont="1" applyBorder="1"/>
    <xf numFmtId="41" fontId="9" fillId="4" borderId="45" xfId="0" applyNumberFormat="1" applyFont="1" applyFill="1" applyBorder="1"/>
    <xf numFmtId="3" fontId="9" fillId="5" borderId="35" xfId="0" applyNumberFormat="1" applyFont="1" applyFill="1" applyBorder="1"/>
    <xf numFmtId="3" fontId="9" fillId="5" borderId="41" xfId="0" applyNumberFormat="1" applyFont="1" applyFill="1" applyBorder="1"/>
    <xf numFmtId="41" fontId="9" fillId="0" borderId="42" xfId="0" applyNumberFormat="1" applyFont="1" applyBorder="1"/>
    <xf numFmtId="41" fontId="9" fillId="0" borderId="47" xfId="0" applyNumberFormat="1" applyFont="1" applyBorder="1"/>
    <xf numFmtId="3" fontId="9" fillId="0" borderId="48" xfId="0" applyNumberFormat="1" applyFont="1" applyBorder="1"/>
    <xf numFmtId="3" fontId="9" fillId="0" borderId="46" xfId="0" applyNumberFormat="1" applyFont="1" applyBorder="1"/>
    <xf numFmtId="3" fontId="9" fillId="0" borderId="47" xfId="0" applyNumberFormat="1" applyFont="1" applyBorder="1"/>
    <xf numFmtId="3" fontId="11" fillId="5" borderId="35" xfId="0" applyNumberFormat="1" applyFont="1" applyFill="1" applyBorder="1"/>
    <xf numFmtId="3" fontId="11" fillId="5" borderId="42" xfId="0" applyNumberFormat="1" applyFont="1" applyFill="1" applyBorder="1"/>
    <xf numFmtId="3" fontId="11" fillId="5" borderId="48" xfId="0" applyNumberFormat="1" applyFont="1" applyFill="1" applyBorder="1"/>
    <xf numFmtId="3" fontId="11" fillId="5" borderId="47" xfId="0" applyNumberFormat="1" applyFont="1" applyFill="1" applyBorder="1"/>
    <xf numFmtId="3" fontId="11" fillId="5" borderId="43" xfId="0" applyNumberFormat="1" applyFont="1" applyFill="1" applyBorder="1"/>
    <xf numFmtId="3" fontId="11" fillId="5" borderId="44" xfId="0" applyNumberFormat="1" applyFont="1" applyFill="1" applyBorder="1"/>
    <xf numFmtId="3" fontId="11" fillId="5" borderId="49" xfId="0" applyNumberFormat="1" applyFont="1" applyFill="1" applyBorder="1"/>
    <xf numFmtId="3" fontId="11" fillId="5" borderId="45" xfId="0" applyNumberFormat="1" applyFont="1" applyFill="1" applyBorder="1"/>
    <xf numFmtId="3" fontId="11" fillId="5" borderId="46" xfId="0" applyNumberFormat="1" applyFont="1" applyFill="1" applyBorder="1"/>
    <xf numFmtId="41" fontId="9" fillId="0" borderId="48" xfId="0" applyNumberFormat="1" applyFont="1" applyBorder="1"/>
    <xf numFmtId="3" fontId="47" fillId="5" borderId="35" xfId="0" applyNumberFormat="1" applyFont="1" applyFill="1" applyBorder="1"/>
    <xf numFmtId="3" fontId="9" fillId="5" borderId="45" xfId="0" applyNumberFormat="1" applyFont="1" applyFill="1" applyBorder="1"/>
    <xf numFmtId="3" fontId="9" fillId="5" borderId="42" xfId="0" applyNumberFormat="1" applyFont="1" applyFill="1" applyBorder="1"/>
    <xf numFmtId="3" fontId="9" fillId="0" borderId="50" xfId="0" applyNumberFormat="1" applyFon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9" fillId="0" borderId="53" xfId="0" applyNumberFormat="1" applyFont="1" applyBorder="1"/>
    <xf numFmtId="3" fontId="9" fillId="5" borderId="54" xfId="0" applyNumberFormat="1" applyFont="1" applyFill="1" applyBorder="1"/>
    <xf numFmtId="3" fontId="9" fillId="0" borderId="55" xfId="0" applyNumberFormat="1" applyFon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3" fontId="9" fillId="5" borderId="50" xfId="0" applyNumberFormat="1" applyFont="1" applyFill="1" applyBorder="1"/>
    <xf numFmtId="3" fontId="9" fillId="0" borderId="58" xfId="1" applyNumberFormat="1" applyFont="1" applyBorder="1"/>
    <xf numFmtId="41" fontId="9" fillId="0" borderId="58" xfId="0" applyNumberFormat="1" applyFont="1" applyBorder="1"/>
    <xf numFmtId="41" fontId="9" fillId="0" borderId="59" xfId="0" applyNumberFormat="1" applyFont="1" applyBorder="1"/>
    <xf numFmtId="3" fontId="9" fillId="0" borderId="59" xfId="1" applyNumberFormat="1" applyFont="1" applyBorder="1"/>
    <xf numFmtId="3" fontId="9" fillId="0" borderId="60" xfId="1" applyNumberFormat="1" applyFont="1" applyBorder="1"/>
    <xf numFmtId="3" fontId="11" fillId="0" borderId="60" xfId="0" applyNumberFormat="1" applyFont="1" applyBorder="1" applyAlignment="1">
      <alignment horizontal="center" vertical="center"/>
    </xf>
    <xf numFmtId="3" fontId="11" fillId="7" borderId="61" xfId="0" applyNumberFormat="1" applyFont="1" applyFill="1" applyBorder="1" applyAlignment="1">
      <alignment horizontal="center"/>
    </xf>
    <xf numFmtId="3" fontId="11" fillId="5" borderId="62" xfId="0" applyNumberFormat="1" applyFont="1" applyFill="1" applyBorder="1"/>
    <xf numFmtId="41" fontId="9" fillId="0" borderId="49" xfId="0" applyNumberFormat="1" applyFont="1" applyBorder="1"/>
    <xf numFmtId="3" fontId="9" fillId="0" borderId="44" xfId="0" applyNumberFormat="1" applyFont="1" applyBorder="1"/>
    <xf numFmtId="41" fontId="9" fillId="0" borderId="44" xfId="0" applyNumberFormat="1" applyFont="1" applyBorder="1"/>
    <xf numFmtId="3" fontId="9" fillId="0" borderId="54" xfId="0" applyNumberFormat="1" applyFont="1" applyBorder="1"/>
    <xf numFmtId="3" fontId="12" fillId="0" borderId="0" xfId="0" applyNumberFormat="1" applyFont="1"/>
    <xf numFmtId="3" fontId="9" fillId="0" borderId="63" xfId="0" applyNumberFormat="1" applyFont="1" applyBorder="1"/>
    <xf numFmtId="3" fontId="11" fillId="7" borderId="28" xfId="0" applyNumberFormat="1" applyFont="1" applyFill="1" applyBorder="1" applyAlignment="1">
      <alignment horizontal="right"/>
    </xf>
    <xf numFmtId="3" fontId="9" fillId="0" borderId="36" xfId="0" applyNumberFormat="1" applyFont="1" applyBorder="1"/>
    <xf numFmtId="3" fontId="11" fillId="0" borderId="17" xfId="1" applyNumberFormat="1" applyFont="1" applyBorder="1" applyAlignment="1">
      <alignment vertical="center"/>
    </xf>
    <xf numFmtId="3" fontId="11" fillId="0" borderId="64" xfId="1" applyNumberFormat="1" applyFont="1" applyBorder="1" applyAlignment="1">
      <alignment vertical="center"/>
    </xf>
    <xf numFmtId="3" fontId="11" fillId="7" borderId="30" xfId="0" applyNumberFormat="1" applyFont="1" applyFill="1" applyBorder="1" applyAlignment="1">
      <alignment horizontal="right"/>
    </xf>
    <xf numFmtId="3" fontId="11" fillId="4" borderId="17" xfId="1" applyNumberFormat="1" applyFont="1" applyFill="1" applyBorder="1" applyAlignment="1">
      <alignment vertical="center"/>
    </xf>
    <xf numFmtId="3" fontId="11" fillId="4" borderId="64" xfId="1" applyNumberFormat="1" applyFont="1" applyFill="1" applyBorder="1" applyAlignment="1">
      <alignment vertical="center"/>
    </xf>
    <xf numFmtId="3" fontId="11" fillId="0" borderId="65" xfId="1" applyNumberFormat="1" applyFont="1" applyBorder="1" applyAlignment="1">
      <alignment horizontal="center" vertical="center"/>
    </xf>
    <xf numFmtId="3" fontId="9" fillId="0" borderId="49" xfId="0" applyNumberFormat="1" applyFont="1" applyBorder="1"/>
    <xf numFmtId="3" fontId="9" fillId="0" borderId="66" xfId="0" applyNumberFormat="1" applyFont="1" applyBorder="1"/>
    <xf numFmtId="3" fontId="13" fillId="0" borderId="0" xfId="0" applyNumberFormat="1" applyFont="1"/>
    <xf numFmtId="0" fontId="0" fillId="0" borderId="17" xfId="0" applyBorder="1"/>
    <xf numFmtId="0" fontId="0" fillId="0" borderId="64" xfId="0" applyBorder="1"/>
    <xf numFmtId="3" fontId="11" fillId="7" borderId="30" xfId="0" applyNumberFormat="1" applyFont="1" applyFill="1" applyBorder="1"/>
    <xf numFmtId="3" fontId="11" fillId="7" borderId="26" xfId="0" applyNumberFormat="1" applyFont="1" applyFill="1" applyBorder="1"/>
    <xf numFmtId="3" fontId="11" fillId="7" borderId="61" xfId="0" applyNumberFormat="1" applyFont="1" applyFill="1" applyBorder="1"/>
    <xf numFmtId="3" fontId="11" fillId="5" borderId="27" xfId="0" applyNumberFormat="1" applyFont="1" applyFill="1" applyBorder="1"/>
    <xf numFmtId="3" fontId="11" fillId="7" borderId="25" xfId="0" applyNumberFormat="1" applyFont="1" applyFill="1" applyBorder="1"/>
    <xf numFmtId="3" fontId="46" fillId="5" borderId="27" xfId="0" applyNumberFormat="1" applyFont="1" applyFill="1" applyBorder="1"/>
    <xf numFmtId="49" fontId="6" fillId="0" borderId="9" xfId="0" applyNumberFormat="1" applyFont="1" applyBorder="1"/>
    <xf numFmtId="188" fontId="5" fillId="0" borderId="67" xfId="1" applyNumberFormat="1" applyFont="1" applyBorder="1"/>
    <xf numFmtId="188" fontId="8" fillId="0" borderId="11" xfId="1" applyNumberFormat="1" applyFont="1" applyBorder="1"/>
    <xf numFmtId="188" fontId="8" fillId="0" borderId="11" xfId="1" applyNumberFormat="1" applyFont="1" applyFill="1" applyBorder="1"/>
    <xf numFmtId="0" fontId="14" fillId="0" borderId="4" xfId="0" applyFont="1" applyBorder="1" applyAlignment="1">
      <alignment horizontal="left" vertical="center"/>
    </xf>
    <xf numFmtId="188" fontId="14" fillId="0" borderId="5" xfId="1" applyNumberFormat="1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88" fontId="16" fillId="0" borderId="0" xfId="1" applyNumberFormat="1" applyFont="1" applyAlignment="1">
      <alignment vertical="center"/>
    </xf>
    <xf numFmtId="188" fontId="15" fillId="0" borderId="0" xfId="1" applyNumberFormat="1" applyFont="1"/>
    <xf numFmtId="188" fontId="16" fillId="0" borderId="0" xfId="1" applyNumberFormat="1" applyFont="1"/>
    <xf numFmtId="0" fontId="16" fillId="0" borderId="0" xfId="0" applyFont="1"/>
    <xf numFmtId="0" fontId="16" fillId="0" borderId="0" xfId="0" applyFont="1" applyAlignment="1">
      <alignment horizontal="left"/>
    </xf>
    <xf numFmtId="188" fontId="16" fillId="0" borderId="0" xfId="1" applyNumberFormat="1" applyFont="1" applyBorder="1"/>
    <xf numFmtId="188" fontId="15" fillId="0" borderId="0" xfId="1" applyNumberFormat="1" applyFont="1" applyBorder="1"/>
    <xf numFmtId="188" fontId="16" fillId="0" borderId="15" xfId="1" applyNumberFormat="1" applyFont="1" applyBorder="1"/>
    <xf numFmtId="0" fontId="15" fillId="0" borderId="0" xfId="0" applyFont="1"/>
    <xf numFmtId="188" fontId="15" fillId="0" borderId="68" xfId="1" applyNumberFormat="1" applyFont="1" applyBorder="1"/>
    <xf numFmtId="0" fontId="16" fillId="0" borderId="0" xfId="1" applyNumberFormat="1" applyFont="1" applyAlignment="1"/>
    <xf numFmtId="0" fontId="16" fillId="0" borderId="0" xfId="1" applyNumberFormat="1" applyFont="1"/>
    <xf numFmtId="188" fontId="16" fillId="0" borderId="0" xfId="1" applyNumberFormat="1" applyFont="1" applyBorder="1" applyAlignment="1">
      <alignment horizontal="left" vertical="center"/>
    </xf>
    <xf numFmtId="188" fontId="15" fillId="0" borderId="0" xfId="1" applyNumberFormat="1" applyFont="1" applyAlignment="1">
      <alignment vertical="center"/>
    </xf>
    <xf numFmtId="188" fontId="15" fillId="0" borderId="0" xfId="1" applyNumberFormat="1" applyFont="1" applyBorder="1" applyAlignment="1">
      <alignment horizontal="left" vertical="center"/>
    </xf>
    <xf numFmtId="188" fontId="16" fillId="0" borderId="0" xfId="1" applyNumberFormat="1" applyFont="1" applyAlignment="1">
      <alignment horizontal="left"/>
    </xf>
    <xf numFmtId="188" fontId="15" fillId="0" borderId="0" xfId="1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88" fontId="16" fillId="0" borderId="4" xfId="1" applyNumberFormat="1" applyFont="1" applyBorder="1"/>
    <xf numFmtId="0" fontId="15" fillId="0" borderId="1" xfId="0" applyFont="1" applyBorder="1" applyAlignment="1">
      <alignment horizontal="center"/>
    </xf>
    <xf numFmtId="188" fontId="15" fillId="0" borderId="1" xfId="1" applyNumberFormat="1" applyFont="1" applyBorder="1"/>
    <xf numFmtId="49" fontId="16" fillId="0" borderId="1" xfId="0" applyNumberFormat="1" applyFont="1" applyBorder="1" applyAlignment="1">
      <alignment horizontal="center"/>
    </xf>
    <xf numFmtId="188" fontId="16" fillId="0" borderId="1" xfId="1" applyNumberFormat="1" applyFont="1" applyBorder="1"/>
    <xf numFmtId="188" fontId="18" fillId="0" borderId="0" xfId="1" applyNumberFormat="1" applyFont="1" applyAlignment="1">
      <alignment horizontal="center"/>
    </xf>
    <xf numFmtId="188" fontId="18" fillId="0" borderId="0" xfId="1" applyNumberFormat="1" applyFont="1"/>
    <xf numFmtId="188" fontId="19" fillId="0" borderId="2" xfId="1" applyNumberFormat="1" applyFont="1" applyBorder="1" applyAlignment="1">
      <alignment horizontal="center"/>
    </xf>
    <xf numFmtId="188" fontId="18" fillId="0" borderId="4" xfId="1" applyNumberFormat="1" applyFont="1" applyBorder="1"/>
    <xf numFmtId="188" fontId="18" fillId="0" borderId="1" xfId="1" applyNumberFormat="1" applyFont="1" applyBorder="1"/>
    <xf numFmtId="188" fontId="19" fillId="0" borderId="1" xfId="1" applyNumberFormat="1" applyFont="1" applyBorder="1" applyAlignment="1">
      <alignment horizontal="center"/>
    </xf>
    <xf numFmtId="188" fontId="19" fillId="0" borderId="0" xfId="1" applyNumberFormat="1" applyFont="1" applyFill="1"/>
    <xf numFmtId="188" fontId="19" fillId="8" borderId="4" xfId="1" applyNumberFormat="1" applyFont="1" applyFill="1" applyBorder="1"/>
    <xf numFmtId="188" fontId="19" fillId="0" borderId="0" xfId="1" applyNumberFormat="1" applyFont="1"/>
    <xf numFmtId="188" fontId="18" fillId="0" borderId="4" xfId="1" applyNumberFormat="1" applyFont="1" applyFill="1" applyBorder="1"/>
    <xf numFmtId="188" fontId="18" fillId="0" borderId="0" xfId="1" applyNumberFormat="1" applyFont="1" applyFill="1"/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9" fontId="19" fillId="0" borderId="1" xfId="1" applyNumberFormat="1" applyFont="1" applyBorder="1" applyAlignment="1">
      <alignment horizontal="center"/>
    </xf>
    <xf numFmtId="188" fontId="19" fillId="0" borderId="10" xfId="1" applyNumberFormat="1" applyFont="1" applyFill="1" applyBorder="1" applyAlignment="1">
      <alignment horizontal="center"/>
    </xf>
    <xf numFmtId="188" fontId="19" fillId="0" borderId="69" xfId="1" applyNumberFormat="1" applyFont="1" applyBorder="1" applyAlignment="1">
      <alignment horizontal="center"/>
    </xf>
    <xf numFmtId="188" fontId="8" fillId="0" borderId="23" xfId="1" applyNumberFormat="1" applyFont="1" applyBorder="1" applyAlignment="1">
      <alignment horizontal="center"/>
    </xf>
    <xf numFmtId="188" fontId="19" fillId="0" borderId="23" xfId="1" applyNumberFormat="1" applyFont="1" applyBorder="1" applyAlignment="1">
      <alignment horizontal="center"/>
    </xf>
    <xf numFmtId="188" fontId="19" fillId="0" borderId="19" xfId="1" applyNumberFormat="1" applyFont="1" applyBorder="1" applyAlignment="1">
      <alignment horizontal="center" vertical="center"/>
    </xf>
    <xf numFmtId="49" fontId="3" fillId="0" borderId="19" xfId="1" applyNumberFormat="1" applyFont="1" applyBorder="1" applyAlignment="1">
      <alignment horizontal="center"/>
    </xf>
    <xf numFmtId="188" fontId="19" fillId="8" borderId="23" xfId="1" applyNumberFormat="1" applyFont="1" applyFill="1" applyBorder="1"/>
    <xf numFmtId="188" fontId="18" fillId="0" borderId="23" xfId="1" applyNumberFormat="1" applyFont="1" applyBorder="1"/>
    <xf numFmtId="188" fontId="18" fillId="0" borderId="23" xfId="1" applyNumberFormat="1" applyFont="1" applyFill="1" applyBorder="1"/>
    <xf numFmtId="188" fontId="3" fillId="8" borderId="23" xfId="1" applyNumberFormat="1" applyFont="1" applyFill="1" applyBorder="1"/>
    <xf numFmtId="188" fontId="6" fillId="0" borderId="23" xfId="1" applyNumberFormat="1" applyFont="1" applyBorder="1"/>
    <xf numFmtId="188" fontId="4" fillId="0" borderId="23" xfId="1" applyNumberFormat="1" applyFont="1" applyBorder="1"/>
    <xf numFmtId="188" fontId="18" fillId="0" borderId="23" xfId="1" applyNumberFormat="1" applyFont="1" applyBorder="1" applyAlignment="1">
      <alignment shrinkToFit="1"/>
    </xf>
    <xf numFmtId="188" fontId="18" fillId="0" borderId="19" xfId="1" applyNumberFormat="1" applyFont="1" applyBorder="1"/>
    <xf numFmtId="188" fontId="18" fillId="0" borderId="70" xfId="1" applyNumberFormat="1" applyFont="1" applyBorder="1"/>
    <xf numFmtId="188" fontId="18" fillId="0" borderId="70" xfId="1" applyNumberFormat="1" applyFont="1" applyFill="1" applyBorder="1"/>
    <xf numFmtId="188" fontId="19" fillId="0" borderId="24" xfId="1" applyNumberFormat="1" applyFont="1" applyBorder="1" applyAlignment="1">
      <alignment horizontal="center"/>
    </xf>
    <xf numFmtId="49" fontId="19" fillId="0" borderId="71" xfId="1" applyNumberFormat="1" applyFont="1" applyBorder="1" applyAlignment="1">
      <alignment horizontal="center"/>
    </xf>
    <xf numFmtId="188" fontId="19" fillId="8" borderId="24" xfId="1" applyNumberFormat="1" applyFont="1" applyFill="1" applyBorder="1"/>
    <xf numFmtId="188" fontId="18" fillId="0" borderId="24" xfId="1" applyNumberFormat="1" applyFont="1" applyBorder="1"/>
    <xf numFmtId="188" fontId="18" fillId="0" borderId="71" xfId="1" applyNumberFormat="1" applyFont="1" applyBorder="1"/>
    <xf numFmtId="188" fontId="18" fillId="0" borderId="72" xfId="1" applyNumberFormat="1" applyFont="1" applyBorder="1"/>
    <xf numFmtId="188" fontId="19" fillId="0" borderId="60" xfId="1" applyNumberFormat="1" applyFont="1" applyBorder="1" applyAlignment="1">
      <alignment horizontal="center"/>
    </xf>
    <xf numFmtId="49" fontId="19" fillId="0" borderId="73" xfId="1" applyNumberFormat="1" applyFont="1" applyBorder="1" applyAlignment="1">
      <alignment horizontal="center"/>
    </xf>
    <xf numFmtId="188" fontId="19" fillId="8" borderId="60" xfId="1" applyNumberFormat="1" applyFont="1" applyFill="1" applyBorder="1"/>
    <xf numFmtId="188" fontId="18" fillId="0" borderId="60" xfId="1" applyNumberFormat="1" applyFont="1" applyBorder="1"/>
    <xf numFmtId="188" fontId="18" fillId="0" borderId="73" xfId="1" applyNumberFormat="1" applyFont="1" applyBorder="1"/>
    <xf numFmtId="188" fontId="18" fillId="0" borderId="74" xfId="1" applyNumberFormat="1" applyFont="1" applyBorder="1"/>
    <xf numFmtId="188" fontId="18" fillId="0" borderId="75" xfId="1" applyNumberFormat="1" applyFont="1" applyBorder="1"/>
    <xf numFmtId="189" fontId="19" fillId="8" borderId="60" xfId="1" applyNumberFormat="1" applyFont="1" applyFill="1" applyBorder="1"/>
    <xf numFmtId="189" fontId="18" fillId="0" borderId="60" xfId="1" applyNumberFormat="1" applyFont="1" applyBorder="1"/>
    <xf numFmtId="49" fontId="19" fillId="0" borderId="76" xfId="1" applyNumberFormat="1" applyFont="1" applyFill="1" applyBorder="1" applyAlignment="1">
      <alignment horizontal="center"/>
    </xf>
    <xf numFmtId="189" fontId="19" fillId="8" borderId="21" xfId="1" applyNumberFormat="1" applyFont="1" applyFill="1" applyBorder="1"/>
    <xf numFmtId="189" fontId="18" fillId="0" borderId="21" xfId="1" applyNumberFormat="1" applyFont="1" applyFill="1" applyBorder="1"/>
    <xf numFmtId="188" fontId="18" fillId="0" borderId="21" xfId="1" applyNumberFormat="1" applyFont="1" applyFill="1" applyBorder="1"/>
    <xf numFmtId="188" fontId="19" fillId="8" borderId="21" xfId="1" applyNumberFormat="1" applyFont="1" applyFill="1" applyBorder="1"/>
    <xf numFmtId="188" fontId="18" fillId="0" borderId="76" xfId="1" applyNumberFormat="1" applyFont="1" applyFill="1" applyBorder="1"/>
    <xf numFmtId="188" fontId="18" fillId="0" borderId="77" xfId="1" applyNumberFormat="1" applyFont="1" applyFill="1" applyBorder="1"/>
    <xf numFmtId="188" fontId="3" fillId="0" borderId="78" xfId="1" applyNumberFormat="1" applyFont="1" applyFill="1" applyBorder="1" applyAlignment="1">
      <alignment horizontal="center"/>
    </xf>
    <xf numFmtId="188" fontId="19" fillId="0" borderId="78" xfId="1" applyNumberFormat="1" applyFont="1" applyFill="1" applyBorder="1" applyAlignment="1">
      <alignment horizontal="center"/>
    </xf>
    <xf numFmtId="188" fontId="19" fillId="0" borderId="79" xfId="1" applyNumberFormat="1" applyFont="1" applyFill="1" applyBorder="1" applyAlignment="1">
      <alignment horizontal="center"/>
    </xf>
    <xf numFmtId="188" fontId="19" fillId="0" borderId="64" xfId="1" applyNumberFormat="1" applyFont="1" applyFill="1" applyBorder="1" applyAlignment="1">
      <alignment horizontal="center"/>
    </xf>
    <xf numFmtId="188" fontId="19" fillId="0" borderId="65" xfId="1" applyNumberFormat="1" applyFont="1" applyFill="1" applyBorder="1" applyAlignment="1">
      <alignment horizontal="center"/>
    </xf>
    <xf numFmtId="188" fontId="19" fillId="9" borderId="78" xfId="1" applyNumberFormat="1" applyFont="1" applyFill="1" applyBorder="1" applyAlignment="1">
      <alignment horizontal="center" vertical="center"/>
    </xf>
    <xf numFmtId="188" fontId="19" fillId="9" borderId="79" xfId="1" applyNumberFormat="1" applyFont="1" applyFill="1" applyBorder="1" applyAlignment="1">
      <alignment horizontal="center" vertical="center"/>
    </xf>
    <xf numFmtId="188" fontId="19" fillId="9" borderId="10" xfId="1" applyNumberFormat="1" applyFont="1" applyFill="1" applyBorder="1" applyAlignment="1">
      <alignment horizontal="center" vertical="center"/>
    </xf>
    <xf numFmtId="188" fontId="19" fillId="9" borderId="64" xfId="1" applyNumberFormat="1" applyFont="1" applyFill="1" applyBorder="1" applyAlignment="1">
      <alignment horizontal="center" vertical="center"/>
    </xf>
    <xf numFmtId="188" fontId="19" fillId="9" borderId="65" xfId="1" applyNumberFormat="1" applyFont="1" applyFill="1" applyBorder="1" applyAlignment="1">
      <alignment horizontal="center" vertical="center"/>
    </xf>
    <xf numFmtId="188" fontId="18" fillId="0" borderId="0" xfId="1" applyNumberFormat="1" applyFont="1" applyAlignment="1">
      <alignment horizontal="center" vertical="center"/>
    </xf>
    <xf numFmtId="188" fontId="8" fillId="0" borderId="19" xfId="1" applyNumberFormat="1" applyFont="1" applyBorder="1" applyAlignment="1">
      <alignment horizontal="center"/>
    </xf>
    <xf numFmtId="188" fontId="19" fillId="0" borderId="19" xfId="1" applyNumberFormat="1" applyFont="1" applyBorder="1" applyAlignment="1">
      <alignment horizontal="center"/>
    </xf>
    <xf numFmtId="188" fontId="19" fillId="0" borderId="16" xfId="1" applyNumberFormat="1" applyFont="1" applyFill="1" applyBorder="1" applyAlignment="1">
      <alignment horizontal="center"/>
    </xf>
    <xf numFmtId="188" fontId="19" fillId="0" borderId="19" xfId="1" applyNumberFormat="1" applyFont="1" applyFill="1" applyBorder="1" applyAlignment="1">
      <alignment horizontal="center"/>
    </xf>
    <xf numFmtId="188" fontId="6" fillId="0" borderId="23" xfId="1" applyNumberFormat="1" applyFont="1" applyFill="1" applyBorder="1"/>
    <xf numFmtId="188" fontId="19" fillId="0" borderId="71" xfId="1" applyNumberFormat="1" applyFont="1" applyBorder="1" applyAlignment="1">
      <alignment horizontal="center"/>
    </xf>
    <xf numFmtId="188" fontId="18" fillId="0" borderId="24" xfId="1" applyNumberFormat="1" applyFont="1" applyFill="1" applyBorder="1"/>
    <xf numFmtId="188" fontId="18" fillId="0" borderId="72" xfId="1" applyNumberFormat="1" applyFont="1" applyFill="1" applyBorder="1"/>
    <xf numFmtId="188" fontId="19" fillId="0" borderId="73" xfId="1" applyNumberFormat="1" applyFont="1" applyBorder="1" applyAlignment="1">
      <alignment horizontal="center"/>
    </xf>
    <xf numFmtId="188" fontId="18" fillId="0" borderId="60" xfId="1" applyNumberFormat="1" applyFont="1" applyFill="1" applyBorder="1"/>
    <xf numFmtId="188" fontId="18" fillId="0" borderId="74" xfId="1" applyNumberFormat="1" applyFont="1" applyFill="1" applyBorder="1"/>
    <xf numFmtId="188" fontId="18" fillId="0" borderId="75" xfId="1" applyNumberFormat="1" applyFont="1" applyFill="1" applyBorder="1"/>
    <xf numFmtId="188" fontId="19" fillId="0" borderId="20" xfId="1" applyNumberFormat="1" applyFont="1" applyBorder="1" applyAlignment="1">
      <alignment horizontal="center"/>
    </xf>
    <xf numFmtId="188" fontId="19" fillId="10" borderId="23" xfId="1" applyNumberFormat="1" applyFont="1" applyFill="1" applyBorder="1" applyAlignment="1">
      <alignment horizontal="center"/>
    </xf>
    <xf numFmtId="188" fontId="19" fillId="10" borderId="24" xfId="1" applyNumberFormat="1" applyFont="1" applyFill="1" applyBorder="1" applyAlignment="1">
      <alignment horizontal="center"/>
    </xf>
    <xf numFmtId="188" fontId="19" fillId="10" borderId="60" xfId="1" applyNumberFormat="1" applyFont="1" applyFill="1" applyBorder="1" applyAlignment="1">
      <alignment horizontal="center"/>
    </xf>
    <xf numFmtId="188" fontId="19" fillId="10" borderId="23" xfId="1" applyNumberFormat="1" applyFont="1" applyFill="1" applyBorder="1"/>
    <xf numFmtId="188" fontId="19" fillId="10" borderId="24" xfId="1" applyNumberFormat="1" applyFont="1" applyFill="1" applyBorder="1"/>
    <xf numFmtId="188" fontId="19" fillId="10" borderId="4" xfId="1" applyNumberFormat="1" applyFont="1" applyFill="1" applyBorder="1"/>
    <xf numFmtId="188" fontId="19" fillId="10" borderId="60" xfId="1" applyNumberFormat="1" applyFont="1" applyFill="1" applyBorder="1"/>
    <xf numFmtId="188" fontId="6" fillId="0" borderId="70" xfId="1" applyNumberFormat="1" applyFont="1" applyFill="1" applyBorder="1"/>
    <xf numFmtId="49" fontId="20" fillId="0" borderId="19" xfId="1" applyNumberFormat="1" applyFont="1" applyBorder="1" applyAlignment="1">
      <alignment horizontal="center" vertical="center"/>
    </xf>
    <xf numFmtId="49" fontId="21" fillId="0" borderId="73" xfId="1" applyNumberFormat="1" applyFont="1" applyBorder="1" applyAlignment="1">
      <alignment horizontal="center" vertical="center"/>
    </xf>
    <xf numFmtId="49" fontId="21" fillId="0" borderId="19" xfId="1" applyNumberFormat="1" applyFont="1" applyFill="1" applyBorder="1" applyAlignment="1">
      <alignment horizontal="center" vertical="center"/>
    </xf>
    <xf numFmtId="49" fontId="18" fillId="0" borderId="19" xfId="1" applyNumberFormat="1" applyFont="1" applyBorder="1" applyAlignment="1">
      <alignment horizontal="center" vertical="center"/>
    </xf>
    <xf numFmtId="188" fontId="19" fillId="10" borderId="2" xfId="1" applyNumberFormat="1" applyFont="1" applyFill="1" applyBorder="1" applyAlignment="1">
      <alignment horizontal="center"/>
    </xf>
    <xf numFmtId="188" fontId="19" fillId="8" borderId="69" xfId="1" applyNumberFormat="1" applyFont="1" applyFill="1" applyBorder="1"/>
    <xf numFmtId="188" fontId="19" fillId="8" borderId="80" xfId="1" applyNumberFormat="1" applyFont="1" applyFill="1" applyBorder="1"/>
    <xf numFmtId="188" fontId="19" fillId="8" borderId="81" xfId="1" applyNumberFormat="1" applyFont="1" applyFill="1" applyBorder="1"/>
    <xf numFmtId="188" fontId="19" fillId="8" borderId="82" xfId="1" applyNumberFormat="1" applyFont="1" applyFill="1" applyBorder="1"/>
    <xf numFmtId="188" fontId="19" fillId="8" borderId="83" xfId="1" applyNumberFormat="1" applyFont="1" applyFill="1" applyBorder="1"/>
    <xf numFmtId="188" fontId="19" fillId="8" borderId="16" xfId="1" applyNumberFormat="1" applyFont="1" applyFill="1" applyBorder="1"/>
    <xf numFmtId="188" fontId="19" fillId="8" borderId="84" xfId="1" applyNumberFormat="1" applyFont="1" applyFill="1" applyBorder="1"/>
    <xf numFmtId="188" fontId="19" fillId="8" borderId="2" xfId="1" applyNumberFormat="1" applyFont="1" applyFill="1" applyBorder="1"/>
    <xf numFmtId="188" fontId="19" fillId="8" borderId="85" xfId="1" applyNumberFormat="1" applyFont="1" applyFill="1" applyBorder="1"/>
    <xf numFmtId="188" fontId="19" fillId="8" borderId="86" xfId="1" applyNumberFormat="1" applyFont="1" applyFill="1" applyBorder="1"/>
    <xf numFmtId="188" fontId="4" fillId="0" borderId="0" xfId="1" applyNumberFormat="1" applyFont="1" applyFill="1"/>
    <xf numFmtId="188" fontId="48" fillId="0" borderId="0" xfId="1" applyNumberFormat="1" applyFont="1" applyFill="1"/>
    <xf numFmtId="188" fontId="49" fillId="0" borderId="0" xfId="1" applyNumberFormat="1" applyFont="1" applyFill="1"/>
    <xf numFmtId="188" fontId="3" fillId="0" borderId="0" xfId="1" applyNumberFormat="1" applyFont="1" applyFill="1"/>
    <xf numFmtId="49" fontId="4" fillId="0" borderId="0" xfId="1" applyNumberFormat="1" applyFont="1" applyFill="1"/>
    <xf numFmtId="188" fontId="3" fillId="0" borderId="68" xfId="1" applyNumberFormat="1" applyFont="1" applyFill="1" applyBorder="1"/>
    <xf numFmtId="188" fontId="3" fillId="0" borderId="86" xfId="1" applyNumberFormat="1" applyFont="1" applyFill="1" applyBorder="1" applyAlignment="1">
      <alignment horizontal="center"/>
    </xf>
    <xf numFmtId="188" fontId="3" fillId="0" borderId="60" xfId="1" applyNumberFormat="1" applyFont="1" applyBorder="1" applyAlignment="1">
      <alignment horizontal="center"/>
    </xf>
    <xf numFmtId="49" fontId="18" fillId="0" borderId="23" xfId="1" applyNumberFormat="1" applyFont="1" applyBorder="1"/>
    <xf numFmtId="43" fontId="5" fillId="0" borderId="11" xfId="1" applyFont="1" applyBorder="1" applyAlignment="1">
      <alignment horizontal="center" vertical="center"/>
    </xf>
    <xf numFmtId="43" fontId="14" fillId="0" borderId="11" xfId="1" applyFont="1" applyBorder="1" applyAlignment="1">
      <alignment horizontal="center" vertical="center"/>
    </xf>
    <xf numFmtId="3" fontId="18" fillId="0" borderId="60" xfId="1" applyNumberFormat="1" applyFont="1" applyBorder="1"/>
    <xf numFmtId="3" fontId="19" fillId="8" borderId="60" xfId="1" applyNumberFormat="1" applyFont="1" applyFill="1" applyBorder="1"/>
    <xf numFmtId="3" fontId="18" fillId="0" borderId="21" xfId="1" applyNumberFormat="1" applyFont="1" applyFill="1" applyBorder="1"/>
    <xf numFmtId="0" fontId="1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16" fillId="0" borderId="4" xfId="1" applyNumberFormat="1" applyFont="1" applyBorder="1"/>
    <xf numFmtId="1" fontId="16" fillId="0" borderId="1" xfId="1" applyNumberFormat="1" applyFont="1" applyBorder="1"/>
    <xf numFmtId="1" fontId="15" fillId="0" borderId="1" xfId="1" applyNumberFormat="1" applyFont="1" applyBorder="1"/>
    <xf numFmtId="188" fontId="16" fillId="0" borderId="0" xfId="0" applyNumberFormat="1" applyFont="1"/>
    <xf numFmtId="49" fontId="5" fillId="0" borderId="0" xfId="0" applyNumberFormat="1" applyFont="1" applyAlignment="1">
      <alignment horizontal="center" vertical="center"/>
    </xf>
    <xf numFmtId="188" fontId="5" fillId="3" borderId="5" xfId="1" applyNumberFormat="1" applyFont="1" applyFill="1" applyBorder="1" applyAlignment="1">
      <alignment horizontal="center" vertical="center"/>
    </xf>
    <xf numFmtId="188" fontId="5" fillId="0" borderId="0" xfId="1" applyNumberFormat="1" applyFont="1" applyFill="1" applyBorder="1" applyAlignment="1">
      <alignment horizontal="center" vertical="center"/>
    </xf>
    <xf numFmtId="188" fontId="5" fillId="0" borderId="4" xfId="1" applyNumberFormat="1" applyFont="1" applyFill="1" applyBorder="1" applyAlignment="1">
      <alignment horizontal="center" vertical="center"/>
    </xf>
    <xf numFmtId="188" fontId="14" fillId="0" borderId="0" xfId="1" applyNumberFormat="1" applyFont="1" applyFill="1" applyBorder="1" applyAlignment="1">
      <alignment horizontal="center" vertical="center"/>
    </xf>
    <xf numFmtId="188" fontId="14" fillId="0" borderId="4" xfId="1" applyNumberFormat="1" applyFont="1" applyFill="1" applyBorder="1" applyAlignment="1">
      <alignment horizontal="center" vertical="center"/>
    </xf>
    <xf numFmtId="188" fontId="5" fillId="0" borderId="4" xfId="1" applyNumberFormat="1" applyFont="1" applyFill="1" applyBorder="1"/>
    <xf numFmtId="0" fontId="4" fillId="0" borderId="0" xfId="0" applyFont="1"/>
    <xf numFmtId="188" fontId="3" fillId="0" borderId="25" xfId="1" applyNumberFormat="1" applyFont="1" applyFill="1" applyBorder="1" applyAlignment="1">
      <alignment horizontal="center"/>
    </xf>
    <xf numFmtId="43" fontId="3" fillId="0" borderId="25" xfId="1" applyFont="1" applyFill="1" applyBorder="1" applyAlignment="1">
      <alignment horizontal="center"/>
    </xf>
    <xf numFmtId="188" fontId="3" fillId="0" borderId="87" xfId="1" applyNumberFormat="1" applyFont="1" applyFill="1" applyBorder="1"/>
    <xf numFmtId="188" fontId="3" fillId="0" borderId="88" xfId="1" applyNumberFormat="1" applyFont="1" applyFill="1" applyBorder="1"/>
    <xf numFmtId="188" fontId="4" fillId="0" borderId="4" xfId="1" applyNumberFormat="1" applyFont="1" applyBorder="1"/>
    <xf numFmtId="188" fontId="4" fillId="0" borderId="4" xfId="1" applyNumberFormat="1" applyFont="1" applyFill="1" applyBorder="1"/>
    <xf numFmtId="188" fontId="50" fillId="0" borderId="4" xfId="1" applyNumberFormat="1" applyFont="1" applyFill="1" applyBorder="1"/>
    <xf numFmtId="43" fontId="4" fillId="0" borderId="4" xfId="1" applyFont="1" applyFill="1" applyBorder="1"/>
    <xf numFmtId="188" fontId="3" fillId="0" borderId="1" xfId="1" applyNumberFormat="1" applyFont="1" applyFill="1" applyBorder="1"/>
    <xf numFmtId="43" fontId="3" fillId="0" borderId="1" xfId="1" applyFont="1" applyFill="1" applyBorder="1"/>
    <xf numFmtId="188" fontId="4" fillId="0" borderId="1" xfId="1" applyNumberFormat="1" applyFont="1" applyFill="1" applyBorder="1"/>
    <xf numFmtId="188" fontId="50" fillId="0" borderId="1" xfId="1" applyNumberFormat="1" applyFont="1" applyFill="1" applyBorder="1"/>
    <xf numFmtId="188" fontId="50" fillId="0" borderId="0" xfId="1" applyNumberFormat="1" applyFont="1" applyFill="1"/>
    <xf numFmtId="188" fontId="3" fillId="0" borderId="1" xfId="1" applyNumberFormat="1" applyFont="1" applyFill="1" applyBorder="1" applyAlignment="1">
      <alignment horizontal="center"/>
    </xf>
    <xf numFmtId="192" fontId="4" fillId="0" borderId="4" xfId="1" applyNumberFormat="1" applyFont="1" applyFill="1" applyBorder="1"/>
    <xf numFmtId="188" fontId="51" fillId="0" borderId="0" xfId="1" applyNumberFormat="1" applyFont="1" applyFill="1"/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188" fontId="3" fillId="0" borderId="4" xfId="1" applyNumberFormat="1" applyFont="1" applyBorder="1"/>
    <xf numFmtId="188" fontId="3" fillId="0" borderId="2" xfId="0" applyNumberFormat="1" applyFont="1" applyBorder="1"/>
    <xf numFmtId="188" fontId="4" fillId="0" borderId="89" xfId="0" applyNumberFormat="1" applyFont="1" applyBorder="1"/>
    <xf numFmtId="188" fontId="3" fillId="0" borderId="3" xfId="0" applyNumberFormat="1" applyFont="1" applyBorder="1"/>
    <xf numFmtId="188" fontId="3" fillId="4" borderId="90" xfId="1" applyNumberFormat="1" applyFont="1" applyFill="1" applyBorder="1"/>
    <xf numFmtId="43" fontId="3" fillId="0" borderId="4" xfId="1" applyFont="1" applyBorder="1"/>
    <xf numFmtId="43" fontId="3" fillId="0" borderId="5" xfId="1" applyFont="1" applyBorder="1"/>
    <xf numFmtId="188" fontId="4" fillId="0" borderId="0" xfId="1" applyNumberFormat="1" applyFont="1"/>
    <xf numFmtId="188" fontId="3" fillId="0" borderId="5" xfId="0" applyNumberFormat="1" applyFont="1" applyBorder="1"/>
    <xf numFmtId="188" fontId="3" fillId="4" borderId="91" xfId="1" applyNumberFormat="1" applyFont="1" applyFill="1" applyBorder="1"/>
    <xf numFmtId="0" fontId="4" fillId="0" borderId="4" xfId="0" applyFont="1" applyBorder="1"/>
    <xf numFmtId="188" fontId="4" fillId="0" borderId="9" xfId="1" applyNumberFormat="1" applyFont="1" applyBorder="1"/>
    <xf numFmtId="188" fontId="4" fillId="0" borderId="4" xfId="1" applyNumberFormat="1" applyFont="1" applyBorder="1" applyAlignment="1"/>
    <xf numFmtId="188" fontId="3" fillId="0" borderId="0" xfId="0" applyNumberFormat="1" applyFont="1"/>
    <xf numFmtId="188" fontId="3" fillId="4" borderId="0" xfId="0" applyNumberFormat="1" applyFont="1" applyFill="1"/>
    <xf numFmtId="43" fontId="3" fillId="4" borderId="0" xfId="0" applyNumberFormat="1" applyFont="1" applyFill="1"/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188" fontId="4" fillId="0" borderId="0" xfId="0" applyNumberFormat="1" applyFont="1"/>
    <xf numFmtId="0" fontId="3" fillId="0" borderId="25" xfId="0" applyFont="1" applyBorder="1" applyAlignment="1">
      <alignment horizontal="center" vertical="center"/>
    </xf>
    <xf numFmtId="188" fontId="3" fillId="0" borderId="25" xfId="1" applyNumberFormat="1" applyFont="1" applyBorder="1" applyAlignment="1">
      <alignment horizontal="center"/>
    </xf>
    <xf numFmtId="0" fontId="3" fillId="0" borderId="87" xfId="0" applyFont="1" applyBorder="1"/>
    <xf numFmtId="188" fontId="3" fillId="0" borderId="88" xfId="1" applyNumberFormat="1" applyFont="1" applyBorder="1"/>
    <xf numFmtId="188" fontId="3" fillId="0" borderId="1" xfId="1" applyNumberFormat="1" applyFont="1" applyBorder="1"/>
    <xf numFmtId="0" fontId="4" fillId="0" borderId="1" xfId="0" applyFont="1" applyBorder="1"/>
    <xf numFmtId="188" fontId="4" fillId="0" borderId="1" xfId="1" applyNumberFormat="1" applyFont="1" applyBorder="1"/>
    <xf numFmtId="188" fontId="4" fillId="4" borderId="0" xfId="1" applyNumberFormat="1" applyFont="1" applyFill="1"/>
    <xf numFmtId="188" fontId="3" fillId="0" borderId="0" xfId="1" applyNumberFormat="1" applyFont="1"/>
    <xf numFmtId="188" fontId="51" fillId="0" borderId="0" xfId="1" applyNumberFormat="1" applyFont="1"/>
    <xf numFmtId="193" fontId="4" fillId="0" borderId="0" xfId="1" applyNumberFormat="1" applyFont="1"/>
    <xf numFmtId="188" fontId="3" fillId="4" borderId="1" xfId="1" applyNumberFormat="1" applyFont="1" applyFill="1" applyBorder="1" applyAlignment="1">
      <alignment horizontal="center"/>
    </xf>
    <xf numFmtId="188" fontId="3" fillId="0" borderId="25" xfId="1" applyNumberFormat="1" applyFont="1" applyBorder="1" applyAlignment="1">
      <alignment horizontal="center" vertical="center"/>
    </xf>
    <xf numFmtId="188" fontId="3" fillId="4" borderId="25" xfId="1" applyNumberFormat="1" applyFont="1" applyFill="1" applyBorder="1" applyAlignment="1">
      <alignment horizontal="center"/>
    </xf>
    <xf numFmtId="188" fontId="3" fillId="4" borderId="88" xfId="1" applyNumberFormat="1" applyFont="1" applyFill="1" applyBorder="1"/>
    <xf numFmtId="188" fontId="4" fillId="4" borderId="4" xfId="1" applyNumberFormat="1" applyFont="1" applyFill="1" applyBorder="1"/>
    <xf numFmtId="188" fontId="3" fillId="4" borderId="1" xfId="1" applyNumberFormat="1" applyFont="1" applyFill="1" applyBorder="1"/>
    <xf numFmtId="188" fontId="4" fillId="4" borderId="1" xfId="1" applyNumberFormat="1" applyFont="1" applyFill="1" applyBorder="1"/>
    <xf numFmtId="192" fontId="3" fillId="4" borderId="1" xfId="1" applyNumberFormat="1" applyFont="1" applyFill="1" applyBorder="1"/>
    <xf numFmtId="192" fontId="4" fillId="4" borderId="4" xfId="1" applyNumberFormat="1" applyFont="1" applyFill="1" applyBorder="1"/>
    <xf numFmtId="188" fontId="4" fillId="11" borderId="4" xfId="1" applyNumberFormat="1" applyFont="1" applyFill="1" applyBorder="1"/>
    <xf numFmtId="188" fontId="4" fillId="11" borderId="9" xfId="1" applyNumberFormat="1" applyFont="1" applyFill="1" applyBorder="1"/>
    <xf numFmtId="188" fontId="3" fillId="11" borderId="5" xfId="0" applyNumberFormat="1" applyFont="1" applyFill="1" applyBorder="1"/>
    <xf numFmtId="188" fontId="3" fillId="11" borderId="91" xfId="1" applyNumberFormat="1" applyFont="1" applyFill="1" applyBorder="1"/>
    <xf numFmtId="188" fontId="4" fillId="11" borderId="4" xfId="1" applyNumberFormat="1" applyFont="1" applyFill="1" applyBorder="1" applyAlignment="1"/>
    <xf numFmtId="43" fontId="3" fillId="11" borderId="4" xfId="1" applyFont="1" applyFill="1" applyBorder="1"/>
    <xf numFmtId="43" fontId="3" fillId="11" borderId="5" xfId="1" applyFont="1" applyFill="1" applyBorder="1"/>
    <xf numFmtId="188" fontId="4" fillId="11" borderId="11" xfId="1" applyNumberFormat="1" applyFont="1" applyFill="1" applyBorder="1" applyAlignment="1">
      <alignment horizontal="center"/>
    </xf>
    <xf numFmtId="188" fontId="4" fillId="12" borderId="4" xfId="1" applyNumberFormat="1" applyFont="1" applyFill="1" applyBorder="1"/>
    <xf numFmtId="188" fontId="4" fillId="12" borderId="9" xfId="1" applyNumberFormat="1" applyFont="1" applyFill="1" applyBorder="1"/>
    <xf numFmtId="188" fontId="3" fillId="12" borderId="5" xfId="0" applyNumberFormat="1" applyFont="1" applyFill="1" applyBorder="1"/>
    <xf numFmtId="188" fontId="3" fillId="12" borderId="91" xfId="1" applyNumberFormat="1" applyFont="1" applyFill="1" applyBorder="1"/>
    <xf numFmtId="188" fontId="4" fillId="12" borderId="4" xfId="1" applyNumberFormat="1" applyFont="1" applyFill="1" applyBorder="1" applyAlignment="1"/>
    <xf numFmtId="43" fontId="3" fillId="12" borderId="4" xfId="1" applyFont="1" applyFill="1" applyBorder="1"/>
    <xf numFmtId="43" fontId="3" fillId="12" borderId="5" xfId="1" applyFont="1" applyFill="1" applyBorder="1"/>
    <xf numFmtId="188" fontId="4" fillId="12" borderId="11" xfId="1" applyNumberFormat="1" applyFont="1" applyFill="1" applyBorder="1" applyAlignment="1">
      <alignment horizontal="center"/>
    </xf>
    <xf numFmtId="188" fontId="4" fillId="0" borderId="92" xfId="0" applyNumberFormat="1" applyFont="1" applyBorder="1"/>
    <xf numFmtId="0" fontId="3" fillId="8" borderId="4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94" xfId="0" applyFont="1" applyFill="1" applyBorder="1"/>
    <xf numFmtId="188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92" fontId="8" fillId="0" borderId="4" xfId="1" applyNumberFormat="1" applyFont="1" applyFill="1" applyBorder="1"/>
    <xf numFmtId="192" fontId="5" fillId="0" borderId="4" xfId="1" applyNumberFormat="1" applyFont="1" applyFill="1" applyBorder="1" applyAlignment="1">
      <alignment horizontal="center" vertical="center"/>
    </xf>
    <xf numFmtId="192" fontId="14" fillId="0" borderId="4" xfId="1" applyNumberFormat="1" applyFont="1" applyFill="1" applyBorder="1" applyAlignment="1">
      <alignment horizontal="center" vertical="center"/>
    </xf>
    <xf numFmtId="192" fontId="5" fillId="0" borderId="4" xfId="1" applyNumberFormat="1" applyFont="1" applyFill="1" applyBorder="1"/>
    <xf numFmtId="0" fontId="3" fillId="12" borderId="0" xfId="0" applyFont="1" applyFill="1"/>
    <xf numFmtId="188" fontId="3" fillId="13" borderId="4" xfId="1" applyNumberFormat="1" applyFont="1" applyFill="1" applyBorder="1"/>
    <xf numFmtId="188" fontId="3" fillId="13" borderId="5" xfId="0" applyNumberFormat="1" applyFont="1" applyFill="1" applyBorder="1"/>
    <xf numFmtId="188" fontId="3" fillId="13" borderId="91" xfId="1" applyNumberFormat="1" applyFont="1" applyFill="1" applyBorder="1"/>
    <xf numFmtId="188" fontId="3" fillId="13" borderId="4" xfId="1" applyNumberFormat="1" applyFont="1" applyFill="1" applyBorder="1" applyAlignment="1"/>
    <xf numFmtId="43" fontId="3" fillId="13" borderId="4" xfId="1" applyFont="1" applyFill="1" applyBorder="1"/>
    <xf numFmtId="43" fontId="3" fillId="13" borderId="5" xfId="1" applyFont="1" applyFill="1" applyBorder="1"/>
    <xf numFmtId="188" fontId="3" fillId="10" borderId="4" xfId="1" applyNumberFormat="1" applyFont="1" applyFill="1" applyBorder="1"/>
    <xf numFmtId="188" fontId="3" fillId="10" borderId="11" xfId="1" applyNumberFormat="1" applyFont="1" applyFill="1" applyBorder="1" applyAlignment="1">
      <alignment horizontal="center"/>
    </xf>
    <xf numFmtId="188" fontId="3" fillId="10" borderId="4" xfId="1" applyNumberFormat="1" applyFont="1" applyFill="1" applyBorder="1" applyAlignment="1"/>
    <xf numFmtId="43" fontId="3" fillId="10" borderId="4" xfId="1" applyFont="1" applyFill="1" applyBorder="1"/>
    <xf numFmtId="43" fontId="3" fillId="10" borderId="5" xfId="1" applyFont="1" applyFill="1" applyBorder="1"/>
    <xf numFmtId="43" fontId="0" fillId="0" borderId="0" xfId="1" applyFont="1"/>
    <xf numFmtId="43" fontId="0" fillId="0" borderId="0" xfId="0" applyNumberFormat="1"/>
    <xf numFmtId="0" fontId="24" fillId="0" borderId="0" xfId="0" applyFont="1"/>
    <xf numFmtId="43" fontId="24" fillId="0" borderId="0" xfId="1" applyFont="1"/>
    <xf numFmtId="43" fontId="8" fillId="0" borderId="0" xfId="1" applyFont="1"/>
    <xf numFmtId="43" fontId="8" fillId="0" borderId="0" xfId="0" applyNumberFormat="1" applyFont="1"/>
    <xf numFmtId="188" fontId="8" fillId="0" borderId="0" xfId="1" applyNumberFormat="1" applyFont="1"/>
    <xf numFmtId="188" fontId="52" fillId="0" borderId="0" xfId="1" applyNumberFormat="1" applyFont="1"/>
    <xf numFmtId="188" fontId="53" fillId="0" borderId="0" xfId="1" applyNumberFormat="1" applyFont="1"/>
    <xf numFmtId="192" fontId="3" fillId="0" borderId="25" xfId="1" applyNumberFormat="1" applyFont="1" applyFill="1" applyBorder="1" applyAlignment="1">
      <alignment horizontal="center"/>
    </xf>
    <xf numFmtId="192" fontId="8" fillId="0" borderId="0" xfId="1" applyNumberFormat="1" applyFont="1"/>
    <xf numFmtId="43" fontId="6" fillId="0" borderId="21" xfId="1" applyFont="1" applyBorder="1"/>
    <xf numFmtId="188" fontId="3" fillId="8" borderId="95" xfId="0" applyNumberFormat="1" applyFont="1" applyFill="1" applyBorder="1" applyAlignment="1">
      <alignment vertical="center"/>
    </xf>
    <xf numFmtId="43" fontId="6" fillId="0" borderId="0" xfId="1" applyFont="1" applyFill="1"/>
    <xf numFmtId="188" fontId="3" fillId="4" borderId="24" xfId="1" applyNumberFormat="1" applyFont="1" applyFill="1" applyBorder="1"/>
    <xf numFmtId="188" fontId="3" fillId="13" borderId="24" xfId="1" applyNumberFormat="1" applyFont="1" applyFill="1" applyBorder="1" applyAlignment="1">
      <alignment horizontal="center"/>
    </xf>
    <xf numFmtId="188" fontId="4" fillId="12" borderId="24" xfId="1" applyNumberFormat="1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188" fontId="3" fillId="0" borderId="11" xfId="1" applyNumberFormat="1" applyFont="1" applyBorder="1"/>
    <xf numFmtId="188" fontId="4" fillId="0" borderId="11" xfId="1" applyNumberFormat="1" applyFont="1" applyBorder="1" applyAlignment="1">
      <alignment horizontal="center"/>
    </xf>
    <xf numFmtId="188" fontId="3" fillId="13" borderId="11" xfId="1" applyNumberFormat="1" applyFont="1" applyFill="1" applyBorder="1" applyAlignment="1">
      <alignment horizontal="center"/>
    </xf>
    <xf numFmtId="188" fontId="3" fillId="8" borderId="96" xfId="0" applyNumberFormat="1" applyFont="1" applyFill="1" applyBorder="1" applyAlignment="1">
      <alignment vertical="center"/>
    </xf>
    <xf numFmtId="188" fontId="3" fillId="14" borderId="4" xfId="1" applyNumberFormat="1" applyFont="1" applyFill="1" applyBorder="1"/>
    <xf numFmtId="189" fontId="3" fillId="14" borderId="4" xfId="1" applyNumberFormat="1" applyFont="1" applyFill="1" applyBorder="1"/>
    <xf numFmtId="188" fontId="4" fillId="14" borderId="4" xfId="1" applyNumberFormat="1" applyFont="1" applyFill="1" applyBorder="1"/>
    <xf numFmtId="188" fontId="3" fillId="8" borderId="97" xfId="0" applyNumberFormat="1" applyFont="1" applyFill="1" applyBorder="1" applyAlignment="1">
      <alignment vertical="center"/>
    </xf>
    <xf numFmtId="188" fontId="3" fillId="8" borderId="98" xfId="0" applyNumberFormat="1" applyFont="1" applyFill="1" applyBorder="1" applyAlignment="1">
      <alignment vertical="center"/>
    </xf>
    <xf numFmtId="0" fontId="3" fillId="8" borderId="11" xfId="0" applyFont="1" applyFill="1" applyBorder="1" applyAlignment="1">
      <alignment horizontal="center"/>
    </xf>
    <xf numFmtId="0" fontId="6" fillId="0" borderId="4" xfId="0" applyFont="1" applyBorder="1"/>
    <xf numFmtId="0" fontId="7" fillId="13" borderId="4" xfId="0" applyFont="1" applyFill="1" applyBorder="1"/>
    <xf numFmtId="0" fontId="6" fillId="12" borderId="4" xfId="0" applyFont="1" applyFill="1" applyBorder="1"/>
    <xf numFmtId="0" fontId="6" fillId="11" borderId="4" xfId="0" applyFont="1" applyFill="1" applyBorder="1"/>
    <xf numFmtId="0" fontId="8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88" fontId="4" fillId="11" borderId="24" xfId="1" applyNumberFormat="1" applyFont="1" applyFill="1" applyBorder="1" applyAlignment="1">
      <alignment horizontal="center"/>
    </xf>
    <xf numFmtId="188" fontId="3" fillId="12" borderId="9" xfId="0" applyNumberFormat="1" applyFont="1" applyFill="1" applyBorder="1"/>
    <xf numFmtId="0" fontId="7" fillId="0" borderId="8" xfId="0" applyFont="1" applyBorder="1" applyAlignment="1">
      <alignment horizontal="center" vertical="center"/>
    </xf>
    <xf numFmtId="0" fontId="7" fillId="0" borderId="6" xfId="0" applyFont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3" fontId="5" fillId="0" borderId="6" xfId="0" applyNumberFormat="1" applyFont="1" applyBorder="1" applyAlignment="1">
      <alignment horizontal="center"/>
    </xf>
    <xf numFmtId="188" fontId="8" fillId="0" borderId="11" xfId="1" applyNumberFormat="1" applyFont="1" applyFill="1" applyBorder="1" applyAlignment="1">
      <alignment horizontal="center" shrinkToFit="1"/>
    </xf>
    <xf numFmtId="3" fontId="5" fillId="0" borderId="11" xfId="0" applyNumberFormat="1" applyFont="1" applyBorder="1" applyAlignment="1">
      <alignment horizontal="center"/>
    </xf>
    <xf numFmtId="43" fontId="8" fillId="0" borderId="11" xfId="0" applyNumberFormat="1" applyFont="1" applyBorder="1" applyAlignment="1">
      <alignment horizontal="center"/>
    </xf>
    <xf numFmtId="188" fontId="5" fillId="0" borderId="10" xfId="0" applyNumberFormat="1" applyFont="1" applyBorder="1" applyAlignment="1">
      <alignment horizontal="center" vertical="center"/>
    </xf>
    <xf numFmtId="43" fontId="6" fillId="0" borderId="21" xfId="1" applyFont="1" applyFill="1" applyBorder="1"/>
    <xf numFmtId="0" fontId="3" fillId="8" borderId="10" xfId="0" applyFont="1" applyFill="1" applyBorder="1" applyAlignment="1">
      <alignment horizontal="center" vertical="center"/>
    </xf>
    <xf numFmtId="188" fontId="3" fillId="8" borderId="10" xfId="0" applyNumberFormat="1" applyFont="1" applyFill="1" applyBorder="1" applyAlignment="1">
      <alignment vertical="center"/>
    </xf>
    <xf numFmtId="188" fontId="3" fillId="8" borderId="99" xfId="0" applyNumberFormat="1" applyFont="1" applyFill="1" applyBorder="1" applyAlignment="1">
      <alignment vertical="center"/>
    </xf>
    <xf numFmtId="43" fontId="3" fillId="8" borderId="95" xfId="0" applyNumberFormat="1" applyFont="1" applyFill="1" applyBorder="1" applyAlignment="1">
      <alignment vertical="center"/>
    </xf>
    <xf numFmtId="43" fontId="3" fillId="8" borderId="14" xfId="0" applyNumberFormat="1" applyFont="1" applyFill="1" applyBorder="1" applyAlignment="1">
      <alignment vertical="center"/>
    </xf>
    <xf numFmtId="0" fontId="25" fillId="8" borderId="100" xfId="0" applyFont="1" applyFill="1" applyBorder="1" applyAlignment="1">
      <alignment horizontal="center"/>
    </xf>
    <xf numFmtId="0" fontId="3" fillId="8" borderId="93" xfId="0" applyFont="1" applyFill="1" applyBorder="1"/>
    <xf numFmtId="43" fontId="8" fillId="0" borderId="6" xfId="1" applyFont="1" applyBorder="1"/>
    <xf numFmtId="188" fontId="8" fillId="0" borderId="0" xfId="1" applyNumberFormat="1" applyFont="1" applyFill="1"/>
    <xf numFmtId="188" fontId="52" fillId="0" borderId="0" xfId="1" applyNumberFormat="1" applyFont="1" applyFill="1"/>
    <xf numFmtId="188" fontId="53" fillId="0" borderId="0" xfId="1" applyNumberFormat="1" applyFont="1" applyFill="1"/>
    <xf numFmtId="192" fontId="8" fillId="0" borderId="0" xfId="1" applyNumberFormat="1" applyFont="1" applyFill="1"/>
    <xf numFmtId="193" fontId="4" fillId="0" borderId="0" xfId="1" applyNumberFormat="1" applyFont="1" applyFill="1"/>
    <xf numFmtId="188" fontId="3" fillId="0" borderId="25" xfId="1" applyNumberFormat="1" applyFont="1" applyFill="1" applyBorder="1" applyAlignment="1">
      <alignment horizontal="center" vertical="center"/>
    </xf>
    <xf numFmtId="188" fontId="3" fillId="0" borderId="4" xfId="1" applyNumberFormat="1" applyFont="1" applyFill="1" applyBorder="1"/>
    <xf numFmtId="192" fontId="3" fillId="0" borderId="1" xfId="1" applyNumberFormat="1" applyFont="1" applyFill="1" applyBorder="1"/>
    <xf numFmtId="192" fontId="7" fillId="0" borderId="2" xfId="1" applyNumberFormat="1" applyFont="1" applyFill="1" applyBorder="1" applyAlignment="1">
      <alignment horizontal="center" vertical="center"/>
    </xf>
    <xf numFmtId="188" fontId="7" fillId="0" borderId="2" xfId="1" applyNumberFormat="1" applyFont="1" applyFill="1" applyBorder="1" applyAlignment="1">
      <alignment horizontal="center" vertical="center"/>
    </xf>
    <xf numFmtId="192" fontId="7" fillId="0" borderId="1" xfId="1" applyNumberFormat="1" applyFont="1" applyFill="1" applyBorder="1" applyAlignment="1">
      <alignment horizontal="center" vertical="center"/>
    </xf>
    <xf numFmtId="188" fontId="7" fillId="0" borderId="1" xfId="1" applyNumberFormat="1" applyFont="1" applyFill="1" applyBorder="1" applyAlignment="1">
      <alignment horizontal="center" vertical="center"/>
    </xf>
    <xf numFmtId="192" fontId="8" fillId="0" borderId="4" xfId="1" applyNumberFormat="1" applyFont="1" applyFill="1" applyBorder="1" applyAlignment="1">
      <alignment horizontal="center" vertical="center"/>
    </xf>
    <xf numFmtId="188" fontId="8" fillId="0" borderId="4" xfId="1" applyNumberFormat="1" applyFont="1" applyFill="1" applyBorder="1" applyAlignment="1">
      <alignment horizontal="center" vertical="center"/>
    </xf>
    <xf numFmtId="188" fontId="5" fillId="0" borderId="101" xfId="0" applyNumberFormat="1" applyFont="1" applyBorder="1"/>
    <xf numFmtId="188" fontId="5" fillId="0" borderId="1" xfId="1" applyNumberFormat="1" applyFont="1" applyFill="1" applyBorder="1"/>
    <xf numFmtId="188" fontId="5" fillId="0" borderId="4" xfId="0" applyNumberFormat="1" applyFont="1" applyBorder="1"/>
    <xf numFmtId="192" fontId="5" fillId="0" borderId="4" xfId="0" applyNumberFormat="1" applyFont="1" applyBorder="1"/>
    <xf numFmtId="3" fontId="5" fillId="0" borderId="4" xfId="0" applyNumberFormat="1" applyFont="1" applyBorder="1"/>
    <xf numFmtId="188" fontId="5" fillId="0" borderId="95" xfId="0" applyNumberFormat="1" applyFont="1" applyBorder="1" applyAlignment="1">
      <alignment horizontal="center" vertical="center"/>
    </xf>
    <xf numFmtId="192" fontId="8" fillId="0" borderId="0" xfId="0" applyNumberFormat="1" applyFont="1" applyAlignment="1">
      <alignment vertical="center"/>
    </xf>
    <xf numFmtId="192" fontId="5" fillId="0" borderId="10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192" fontId="5" fillId="0" borderId="2" xfId="1" applyNumberFormat="1" applyFont="1" applyFill="1" applyBorder="1"/>
    <xf numFmtId="188" fontId="7" fillId="0" borderId="9" xfId="0" applyNumberFormat="1" applyFont="1" applyBorder="1" applyAlignment="1">
      <alignment vertical="center"/>
    </xf>
    <xf numFmtId="188" fontId="6" fillId="0" borderId="9" xfId="0" applyNumberFormat="1" applyFont="1" applyBorder="1" applyAlignment="1">
      <alignment vertical="center"/>
    </xf>
    <xf numFmtId="192" fontId="5" fillId="0" borderId="10" xfId="1" applyNumberFormat="1" applyFont="1" applyFill="1" applyBorder="1"/>
    <xf numFmtId="192" fontId="6" fillId="0" borderId="0" xfId="0" applyNumberFormat="1" applyFont="1" applyAlignment="1">
      <alignment vertical="center"/>
    </xf>
    <xf numFmtId="188" fontId="6" fillId="0" borderId="0" xfId="1" applyNumberFormat="1" applyFont="1" applyFill="1"/>
    <xf numFmtId="192" fontId="6" fillId="0" borderId="0" xfId="0" applyNumberFormat="1" applyFont="1"/>
    <xf numFmtId="192" fontId="6" fillId="0" borderId="0" xfId="1" applyNumberFormat="1" applyFont="1" applyFill="1"/>
    <xf numFmtId="192" fontId="7" fillId="0" borderId="0" xfId="0" applyNumberFormat="1" applyFont="1" applyAlignment="1">
      <alignment vertical="center"/>
    </xf>
    <xf numFmtId="188" fontId="50" fillId="6" borderId="0" xfId="1" applyNumberFormat="1" applyFont="1" applyFill="1"/>
    <xf numFmtId="188" fontId="3" fillId="0" borderId="24" xfId="1" applyNumberFormat="1" applyFont="1" applyFill="1" applyBorder="1"/>
    <xf numFmtId="188" fontId="4" fillId="0" borderId="24" xfId="1" applyNumberFormat="1" applyFont="1" applyFill="1" applyBorder="1" applyAlignment="1">
      <alignment horizontal="center"/>
    </xf>
    <xf numFmtId="0" fontId="5" fillId="0" borderId="0" xfId="0" applyFont="1"/>
    <xf numFmtId="188" fontId="3" fillId="10" borderId="93" xfId="1" applyNumberFormat="1" applyFont="1" applyFill="1" applyBorder="1"/>
    <xf numFmtId="188" fontId="3" fillId="10" borderId="24" xfId="1" applyNumberFormat="1" applyFont="1" applyFill="1" applyBorder="1"/>
    <xf numFmtId="43" fontId="7" fillId="0" borderId="86" xfId="1" applyFont="1" applyBorder="1" applyAlignment="1">
      <alignment horizontal="center"/>
    </xf>
    <xf numFmtId="43" fontId="7" fillId="0" borderId="9" xfId="1" applyFont="1" applyBorder="1" applyAlignment="1">
      <alignment horizontal="center"/>
    </xf>
    <xf numFmtId="43" fontId="7" fillId="0" borderId="21" xfId="1" applyFont="1" applyBorder="1" applyAlignment="1">
      <alignment horizontal="center"/>
    </xf>
    <xf numFmtId="43" fontId="7" fillId="0" borderId="100" xfId="1" applyFont="1" applyBorder="1" applyAlignment="1">
      <alignment horizontal="center"/>
    </xf>
    <xf numFmtId="43" fontId="7" fillId="0" borderId="76" xfId="1" applyFont="1" applyBorder="1" applyAlignment="1">
      <alignment horizontal="center"/>
    </xf>
    <xf numFmtId="43" fontId="7" fillId="0" borderId="15" xfId="1" applyFont="1" applyBorder="1" applyAlignment="1">
      <alignment horizontal="center"/>
    </xf>
    <xf numFmtId="0" fontId="7" fillId="0" borderId="89" xfId="0" applyFont="1" applyBorder="1" applyAlignment="1">
      <alignment horizontal="left"/>
    </xf>
    <xf numFmtId="43" fontId="7" fillId="15" borderId="64" xfId="1" applyFont="1" applyFill="1" applyBorder="1"/>
    <xf numFmtId="43" fontId="7" fillId="0" borderId="65" xfId="1" applyFont="1" applyBorder="1" applyAlignment="1">
      <alignment horizontal="right"/>
    </xf>
    <xf numFmtId="0" fontId="7" fillId="0" borderId="9" xfId="0" applyFont="1" applyBorder="1"/>
    <xf numFmtId="43" fontId="6" fillId="0" borderId="0" xfId="1" applyFont="1" applyFill="1" applyBorder="1"/>
    <xf numFmtId="0" fontId="5" fillId="0" borderId="0" xfId="0" applyFont="1" applyAlignment="1">
      <alignment horizontal="center"/>
    </xf>
    <xf numFmtId="0" fontId="26" fillId="0" borderId="9" xfId="0" applyFont="1" applyBorder="1"/>
    <xf numFmtId="43" fontId="6" fillId="4" borderId="21" xfId="1" applyFont="1" applyFill="1" applyBorder="1"/>
    <xf numFmtId="43" fontId="7" fillId="0" borderId="76" xfId="1" applyFont="1" applyBorder="1"/>
    <xf numFmtId="190" fontId="6" fillId="0" borderId="21" xfId="1" applyNumberFormat="1" applyFont="1" applyBorder="1"/>
    <xf numFmtId="188" fontId="6" fillId="0" borderId="21" xfId="1" applyNumberFormat="1" applyFont="1" applyBorder="1"/>
    <xf numFmtId="43" fontId="7" fillId="2" borderId="7" xfId="1" applyFont="1" applyFill="1" applyBorder="1"/>
    <xf numFmtId="43" fontId="6" fillId="0" borderId="102" xfId="1" applyFont="1" applyBorder="1"/>
    <xf numFmtId="0" fontId="7" fillId="0" borderId="99" xfId="0" applyFont="1" applyBorder="1" applyAlignment="1">
      <alignment horizontal="center" vertical="center"/>
    </xf>
    <xf numFmtId="43" fontId="7" fillId="0" borderId="103" xfId="1" applyFont="1" applyBorder="1" applyAlignment="1">
      <alignment vertical="center"/>
    </xf>
    <xf numFmtId="43" fontId="7" fillId="4" borderId="65" xfId="1" applyFont="1" applyFill="1" applyBorder="1" applyAlignment="1">
      <alignment vertical="center"/>
    </xf>
    <xf numFmtId="43" fontId="7" fillId="0" borderId="0" xfId="1" applyFont="1" applyBorder="1" applyAlignment="1">
      <alignment vertical="center"/>
    </xf>
    <xf numFmtId="188" fontId="8" fillId="0" borderId="5" xfId="1" applyNumberFormat="1" applyFont="1" applyFill="1" applyBorder="1"/>
    <xf numFmtId="3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188" fontId="6" fillId="0" borderId="0" xfId="1" applyNumberFormat="1" applyFont="1" applyAlignment="1">
      <alignment vertical="center"/>
    </xf>
    <xf numFmtId="188" fontId="7" fillId="0" borderId="0" xfId="1" applyNumberFormat="1" applyFont="1" applyAlignment="1">
      <alignment vertical="center"/>
    </xf>
    <xf numFmtId="0" fontId="7" fillId="10" borderId="4" xfId="0" applyFont="1" applyFill="1" applyBorder="1"/>
    <xf numFmtId="0" fontId="8" fillId="11" borderId="4" xfId="0" applyFont="1" applyFill="1" applyBorder="1"/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8" fillId="0" borderId="0" xfId="0" applyFont="1"/>
    <xf numFmtId="187" fontId="4" fillId="0" borderId="0" xfId="0" applyNumberFormat="1" applyFont="1"/>
    <xf numFmtId="43" fontId="4" fillId="0" borderId="0" xfId="1" applyFont="1"/>
    <xf numFmtId="43" fontId="3" fillId="0" borderId="0" xfId="1" applyFont="1"/>
    <xf numFmtId="0" fontId="54" fillId="0" borderId="0" xfId="0" applyFont="1"/>
    <xf numFmtId="0" fontId="50" fillId="0" borderId="0" xfId="0" applyFont="1"/>
    <xf numFmtId="188" fontId="50" fillId="0" borderId="0" xfId="1" applyNumberFormat="1" applyFont="1"/>
    <xf numFmtId="188" fontId="50" fillId="16" borderId="0" xfId="1" applyNumberFormat="1" applyFont="1" applyFill="1"/>
    <xf numFmtId="0" fontId="55" fillId="0" borderId="0" xfId="0" applyFont="1"/>
    <xf numFmtId="0" fontId="56" fillId="0" borderId="0" xfId="0" applyFont="1"/>
    <xf numFmtId="0" fontId="56" fillId="12" borderId="0" xfId="0" applyFont="1" applyFill="1"/>
    <xf numFmtId="0" fontId="56" fillId="0" borderId="0" xfId="0" applyFont="1" applyAlignment="1">
      <alignment vertical="center"/>
    </xf>
    <xf numFmtId="43" fontId="4" fillId="0" borderId="0" xfId="1" applyFont="1" applyFill="1"/>
    <xf numFmtId="0" fontId="23" fillId="0" borderId="0" xfId="0" applyFont="1"/>
    <xf numFmtId="43" fontId="4" fillId="0" borderId="0" xfId="1" applyFont="1" applyFill="1" applyAlignment="1">
      <alignment horizontal="center"/>
    </xf>
    <xf numFmtId="43" fontId="4" fillId="0" borderId="0" xfId="1" applyFont="1" applyFill="1" applyAlignment="1">
      <alignment horizontal="right"/>
    </xf>
    <xf numFmtId="49" fontId="3" fillId="0" borderId="15" xfId="1" applyNumberFormat="1" applyFont="1" applyFill="1" applyBorder="1" applyAlignment="1"/>
    <xf numFmtId="43" fontId="3" fillId="0" borderId="2" xfId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43" fontId="3" fillId="0" borderId="26" xfId="1" applyFont="1" applyFill="1" applyBorder="1" applyAlignment="1">
      <alignment horizontal="center"/>
    </xf>
    <xf numFmtId="43" fontId="3" fillId="0" borderId="88" xfId="1" applyFont="1" applyFill="1" applyBorder="1"/>
    <xf numFmtId="43" fontId="3" fillId="0" borderId="87" xfId="1" applyFont="1" applyFill="1" applyBorder="1"/>
    <xf numFmtId="43" fontId="3" fillId="0" borderId="88" xfId="1" applyFont="1" applyFill="1" applyBorder="1" applyAlignment="1">
      <alignment horizontal="center"/>
    </xf>
    <xf numFmtId="43" fontId="4" fillId="0" borderId="2" xfId="1" applyFont="1" applyFill="1" applyBorder="1"/>
    <xf numFmtId="43" fontId="4" fillId="0" borderId="4" xfId="1" applyFont="1" applyFill="1" applyBorder="1" applyAlignment="1">
      <alignment horizontal="center"/>
    </xf>
    <xf numFmtId="43" fontId="4" fillId="0" borderId="11" xfId="1" applyFont="1" applyFill="1" applyBorder="1"/>
    <xf numFmtId="43" fontId="4" fillId="0" borderId="1" xfId="1" applyFont="1" applyFill="1" applyBorder="1"/>
    <xf numFmtId="43" fontId="4" fillId="0" borderId="7" xfId="1" applyFont="1" applyFill="1" applyBorder="1"/>
    <xf numFmtId="43" fontId="4" fillId="0" borderId="1" xfId="1" applyFont="1" applyFill="1" applyBorder="1" applyAlignment="1">
      <alignment horizontal="center"/>
    </xf>
    <xf numFmtId="43" fontId="3" fillId="0" borderId="0" xfId="1" applyFont="1" applyFill="1" applyAlignment="1">
      <alignment horizontal="center"/>
    </xf>
    <xf numFmtId="0" fontId="3" fillId="0" borderId="0" xfId="0" applyFont="1" applyAlignment="1">
      <alignment horizontal="right"/>
    </xf>
    <xf numFmtId="43" fontId="4" fillId="0" borderId="0" xfId="1" applyFont="1" applyFill="1" applyBorder="1"/>
    <xf numFmtId="43" fontId="3" fillId="0" borderId="0" xfId="1" applyFont="1" applyFill="1" applyBorder="1" applyAlignment="1">
      <alignment horizontal="center"/>
    </xf>
    <xf numFmtId="43" fontId="3" fillId="0" borderId="0" xfId="1" applyFont="1" applyFill="1"/>
    <xf numFmtId="43" fontId="3" fillId="0" borderId="25" xfId="1" applyFont="1" applyFill="1" applyBorder="1" applyAlignment="1"/>
    <xf numFmtId="43" fontId="4" fillId="0" borderId="0" xfId="1" applyFont="1" applyFill="1" applyAlignment="1"/>
    <xf numFmtId="43" fontId="4" fillId="0" borderId="0" xfId="1" applyFont="1" applyFill="1" applyBorder="1" applyAlignment="1"/>
    <xf numFmtId="43" fontId="3" fillId="0" borderId="0" xfId="1" applyFont="1" applyFill="1" applyAlignment="1"/>
    <xf numFmtId="43" fontId="3" fillId="0" borderId="0" xfId="1" applyFont="1" applyFill="1" applyAlignment="1">
      <alignment horizontal="right"/>
    </xf>
    <xf numFmtId="188" fontId="3" fillId="0" borderId="0" xfId="1" applyNumberFormat="1" applyFont="1" applyFill="1" applyAlignment="1">
      <alignment horizontal="right"/>
    </xf>
    <xf numFmtId="188" fontId="3" fillId="0" borderId="10" xfId="1" applyNumberFormat="1" applyFont="1" applyFill="1" applyBorder="1" applyAlignment="1">
      <alignment horizontal="right"/>
    </xf>
    <xf numFmtId="43" fontId="4" fillId="0" borderId="10" xfId="1" applyFont="1" applyFill="1" applyBorder="1"/>
    <xf numFmtId="0" fontId="3" fillId="0" borderId="10" xfId="0" applyFont="1" applyBorder="1" applyAlignment="1">
      <alignment horizontal="right"/>
    </xf>
    <xf numFmtId="0" fontId="4" fillId="0" borderId="0" xfId="0" applyFont="1" applyAlignment="1">
      <alignment horizontal="right"/>
    </xf>
    <xf numFmtId="187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43" fontId="3" fillId="0" borderId="0" xfId="1" applyFont="1" applyFill="1" applyAlignment="1">
      <alignment vertical="center"/>
    </xf>
    <xf numFmtId="43" fontId="4" fillId="0" borderId="0" xfId="1" applyFont="1" applyFill="1" applyAlignment="1">
      <alignment vertical="center"/>
    </xf>
    <xf numFmtId="43" fontId="3" fillId="0" borderId="0" xfId="1" applyFont="1" applyFill="1" applyAlignment="1">
      <alignment horizontal="center" vertical="center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/>
    </xf>
    <xf numFmtId="187" fontId="3" fillId="0" borderId="0" xfId="0" applyNumberFormat="1" applyFont="1" applyAlignment="1">
      <alignment horizontal="right"/>
    </xf>
    <xf numFmtId="43" fontId="3" fillId="0" borderId="0" xfId="1" applyFont="1" applyFill="1" applyBorder="1" applyAlignment="1">
      <alignment horizontal="right"/>
    </xf>
    <xf numFmtId="188" fontId="3" fillId="0" borderId="0" xfId="1" applyNumberFormat="1" applyFont="1" applyFill="1" applyBorder="1" applyAlignment="1">
      <alignment horizontal="right"/>
    </xf>
    <xf numFmtId="43" fontId="3" fillId="0" borderId="25" xfId="1" applyFont="1" applyFill="1" applyBorder="1" applyAlignment="1">
      <alignment horizontal="center" shrinkToFit="1"/>
    </xf>
    <xf numFmtId="188" fontId="4" fillId="0" borderId="0" xfId="1" applyNumberFormat="1" applyFont="1" applyFill="1" applyBorder="1"/>
    <xf numFmtId="0" fontId="4" fillId="0" borderId="0" xfId="0" applyFont="1" applyAlignment="1">
      <alignment horizontal="left"/>
    </xf>
    <xf numFmtId="43" fontId="3" fillId="0" borderId="9" xfId="1" applyFont="1" applyFill="1" applyBorder="1" applyAlignment="1">
      <alignment vertical="center"/>
    </xf>
    <xf numFmtId="188" fontId="3" fillId="0" borderId="10" xfId="1" applyNumberFormat="1" applyFont="1" applyFill="1" applyBorder="1" applyAlignment="1">
      <alignment horizontal="center" vertical="center"/>
    </xf>
    <xf numFmtId="43" fontId="3" fillId="0" borderId="10" xfId="1" applyFont="1" applyFill="1" applyBorder="1" applyAlignment="1">
      <alignment horizontal="center" vertical="center"/>
    </xf>
    <xf numFmtId="43" fontId="4" fillId="0" borderId="9" xfId="1" applyFont="1" applyFill="1" applyBorder="1"/>
    <xf numFmtId="0" fontId="3" fillId="0" borderId="2" xfId="0" applyFont="1" applyBorder="1"/>
    <xf numFmtId="0" fontId="3" fillId="0" borderId="10" xfId="0" applyFont="1" applyBorder="1" applyAlignment="1">
      <alignment horizontal="right" vertical="center"/>
    </xf>
    <xf numFmtId="188" fontId="4" fillId="0" borderId="10" xfId="1" applyNumberFormat="1" applyFont="1" applyFill="1" applyBorder="1" applyAlignment="1">
      <alignment horizontal="right" vertical="center"/>
    </xf>
    <xf numFmtId="43" fontId="4" fillId="0" borderId="10" xfId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/>
    <xf numFmtId="188" fontId="5" fillId="0" borderId="0" xfId="0" applyNumberFormat="1" applyFont="1"/>
    <xf numFmtId="0" fontId="31" fillId="0" borderId="0" xfId="0" applyFont="1"/>
    <xf numFmtId="188" fontId="8" fillId="0" borderId="4" xfId="1" applyNumberFormat="1" applyFont="1" applyFill="1" applyBorder="1" applyAlignment="1">
      <alignment horizontal="center"/>
    </xf>
    <xf numFmtId="3" fontId="16" fillId="0" borderId="0" xfId="1" applyNumberFormat="1" applyFont="1" applyFill="1" applyBorder="1" applyAlignment="1"/>
    <xf numFmtId="3" fontId="4" fillId="0" borderId="0" xfId="0" applyNumberFormat="1" applyFont="1"/>
    <xf numFmtId="188" fontId="4" fillId="0" borderId="0" xfId="1" applyNumberFormat="1" applyFont="1" applyFill="1" applyBorder="1" applyAlignment="1">
      <alignment horizontal="center"/>
    </xf>
    <xf numFmtId="188" fontId="4" fillId="16" borderId="0" xfId="1" applyNumberFormat="1" applyFont="1" applyFill="1"/>
    <xf numFmtId="0" fontId="3" fillId="9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3" fontId="3" fillId="7" borderId="0" xfId="0" applyNumberFormat="1" applyFont="1" applyFill="1" applyAlignment="1">
      <alignment vertical="center"/>
    </xf>
    <xf numFmtId="188" fontId="3" fillId="7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17" borderId="0" xfId="0" applyFont="1" applyFill="1"/>
    <xf numFmtId="188" fontId="4" fillId="17" borderId="0" xfId="1" applyNumberFormat="1" applyFont="1" applyFill="1" applyBorder="1"/>
    <xf numFmtId="0" fontId="4" fillId="17" borderId="0" xfId="0" applyFont="1" applyFill="1"/>
    <xf numFmtId="188" fontId="4" fillId="17" borderId="0" xfId="0" applyNumberFormat="1" applyFont="1" applyFill="1"/>
    <xf numFmtId="3" fontId="4" fillId="17" borderId="0" xfId="0" applyNumberFormat="1" applyFont="1" applyFill="1"/>
    <xf numFmtId="3" fontId="3" fillId="9" borderId="0" xfId="0" applyNumberFormat="1" applyFont="1" applyFill="1" applyAlignment="1">
      <alignment horizontal="center" vertical="center"/>
    </xf>
    <xf numFmtId="0" fontId="3" fillId="9" borderId="0" xfId="0" applyFont="1" applyFill="1" applyAlignment="1">
      <alignment vertical="center"/>
    </xf>
    <xf numFmtId="0" fontId="3" fillId="18" borderId="0" xfId="0" applyFont="1" applyFill="1" applyAlignment="1">
      <alignment horizontal="center" vertical="center"/>
    </xf>
    <xf numFmtId="188" fontId="4" fillId="19" borderId="0" xfId="1" applyNumberFormat="1" applyFont="1" applyFill="1" applyBorder="1"/>
    <xf numFmtId="188" fontId="3" fillId="19" borderId="0" xfId="1" applyNumberFormat="1" applyFont="1" applyFill="1" applyAlignment="1">
      <alignment vertical="center"/>
    </xf>
    <xf numFmtId="188" fontId="3" fillId="19" borderId="0" xfId="1" applyNumberFormat="1" applyFont="1" applyFill="1" applyBorder="1"/>
    <xf numFmtId="0" fontId="7" fillId="0" borderId="89" xfId="0" applyFont="1" applyBorder="1"/>
    <xf numFmtId="0" fontId="7" fillId="0" borderId="9" xfId="0" applyFont="1" applyBorder="1" applyAlignment="1">
      <alignment horizontal="center"/>
    </xf>
    <xf numFmtId="0" fontId="7" fillId="0" borderId="100" xfId="0" applyFont="1" applyBorder="1"/>
    <xf numFmtId="43" fontId="7" fillId="4" borderId="0" xfId="1" applyFont="1" applyFill="1" applyBorder="1" applyAlignment="1">
      <alignment vertical="center"/>
    </xf>
    <xf numFmtId="188" fontId="5" fillId="0" borderId="0" xfId="0" applyNumberFormat="1" applyFont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189" fontId="5" fillId="0" borderId="9" xfId="1" applyNumberFormat="1" applyFont="1" applyBorder="1" applyAlignment="1">
      <alignment horizontal="right" vertical="center"/>
    </xf>
    <xf numFmtId="189" fontId="5" fillId="0" borderId="1" xfId="1" applyNumberFormat="1" applyFont="1" applyBorder="1" applyAlignment="1">
      <alignment horizontal="right"/>
    </xf>
    <xf numFmtId="188" fontId="8" fillId="0" borderId="2" xfId="1" applyNumberFormat="1" applyFont="1" applyBorder="1"/>
    <xf numFmtId="189" fontId="8" fillId="0" borderId="9" xfId="1" applyNumberFormat="1" applyFont="1" applyBorder="1" applyAlignment="1">
      <alignment horizontal="right"/>
    </xf>
    <xf numFmtId="189" fontId="5" fillId="0" borderId="9" xfId="1" applyNumberFormat="1" applyFont="1" applyBorder="1" applyAlignment="1">
      <alignment horizontal="right"/>
    </xf>
    <xf numFmtId="196" fontId="5" fillId="0" borderId="9" xfId="1" applyNumberFormat="1" applyFont="1" applyBorder="1" applyAlignment="1">
      <alignment horizontal="right" vertical="center"/>
    </xf>
    <xf numFmtId="189" fontId="14" fillId="0" borderId="9" xfId="1" applyNumberFormat="1" applyFont="1" applyBorder="1" applyAlignment="1">
      <alignment horizontal="right" vertical="center"/>
    </xf>
    <xf numFmtId="188" fontId="5" fillId="0" borderId="99" xfId="1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89" fontId="5" fillId="0" borderId="9" xfId="1" applyNumberFormat="1" applyFont="1" applyFill="1" applyBorder="1" applyAlignment="1">
      <alignment horizontal="right" vertical="center"/>
    </xf>
    <xf numFmtId="188" fontId="5" fillId="0" borderId="5" xfId="1" applyNumberFormat="1" applyFont="1" applyFill="1" applyBorder="1" applyAlignment="1">
      <alignment horizontal="center" vertical="center"/>
    </xf>
    <xf numFmtId="188" fontId="5" fillId="0" borderId="11" xfId="1" applyNumberFormat="1" applyFont="1" applyFill="1" applyBorder="1" applyAlignment="1">
      <alignment horizontal="center" vertical="center"/>
    </xf>
    <xf numFmtId="188" fontId="8" fillId="0" borderId="0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189" fontId="8" fillId="0" borderId="9" xfId="1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188" fontId="8" fillId="0" borderId="11" xfId="1" applyNumberFormat="1" applyFont="1" applyFill="1" applyBorder="1" applyAlignment="1">
      <alignment horizontal="center" vertical="center"/>
    </xf>
    <xf numFmtId="188" fontId="8" fillId="0" borderId="5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8" fontId="7" fillId="0" borderId="0" xfId="0" applyNumberFormat="1" applyFont="1" applyAlignment="1">
      <alignment horizontal="center" vertical="center"/>
    </xf>
    <xf numFmtId="188" fontId="5" fillId="0" borderId="5" xfId="0" applyNumberFormat="1" applyFont="1" applyBorder="1" applyAlignment="1">
      <alignment horizontal="center" vertical="center"/>
    </xf>
    <xf numFmtId="189" fontId="5" fillId="0" borderId="101" xfId="1" applyNumberFormat="1" applyFont="1" applyFill="1" applyBorder="1" applyAlignment="1">
      <alignment horizontal="right"/>
    </xf>
    <xf numFmtId="188" fontId="5" fillId="0" borderId="104" xfId="1" applyNumberFormat="1" applyFont="1" applyFill="1" applyBorder="1"/>
    <xf numFmtId="188" fontId="5" fillId="0" borderId="105" xfId="0" applyNumberFormat="1" applyFont="1" applyBorder="1"/>
    <xf numFmtId="43" fontId="5" fillId="0" borderId="105" xfId="1" applyFont="1" applyFill="1" applyBorder="1" applyAlignment="1">
      <alignment horizontal="center"/>
    </xf>
    <xf numFmtId="188" fontId="5" fillId="0" borderId="0" xfId="1" applyNumberFormat="1" applyFont="1" applyFill="1" applyBorder="1" applyAlignment="1">
      <alignment horizontal="left"/>
    </xf>
    <xf numFmtId="43" fontId="4" fillId="0" borderId="0" xfId="0" applyNumberFormat="1" applyFont="1"/>
    <xf numFmtId="0" fontId="1" fillId="0" borderId="0" xfId="0" applyFont="1"/>
    <xf numFmtId="188" fontId="50" fillId="0" borderId="0" xfId="1" applyNumberFormat="1" applyFont="1" applyFill="1" applyBorder="1"/>
    <xf numFmtId="188" fontId="4" fillId="20" borderId="0" xfId="1" applyNumberFormat="1" applyFont="1" applyFill="1"/>
    <xf numFmtId="188" fontId="3" fillId="20" borderId="1" xfId="1" applyNumberFormat="1" applyFont="1" applyFill="1" applyBorder="1" applyAlignment="1">
      <alignment horizontal="center"/>
    </xf>
    <xf numFmtId="188" fontId="3" fillId="20" borderId="25" xfId="1" applyNumberFormat="1" applyFont="1" applyFill="1" applyBorder="1" applyAlignment="1">
      <alignment horizontal="center"/>
    </xf>
    <xf numFmtId="188" fontId="3" fillId="20" borderId="88" xfId="1" applyNumberFormat="1" applyFont="1" applyFill="1" applyBorder="1"/>
    <xf numFmtId="188" fontId="4" fillId="20" borderId="4" xfId="1" applyNumberFormat="1" applyFont="1" applyFill="1" applyBorder="1"/>
    <xf numFmtId="188" fontId="3" fillId="20" borderId="1" xfId="1" applyNumberFormat="1" applyFont="1" applyFill="1" applyBorder="1"/>
    <xf numFmtId="188" fontId="4" fillId="20" borderId="1" xfId="1" applyNumberFormat="1" applyFont="1" applyFill="1" applyBorder="1"/>
    <xf numFmtId="43" fontId="4" fillId="20" borderId="4" xfId="1" applyFont="1" applyFill="1" applyBorder="1"/>
    <xf numFmtId="188" fontId="4" fillId="5" borderId="0" xfId="1" applyNumberFormat="1" applyFont="1" applyFill="1"/>
    <xf numFmtId="188" fontId="3" fillId="5" borderId="1" xfId="1" applyNumberFormat="1" applyFont="1" applyFill="1" applyBorder="1" applyAlignment="1">
      <alignment horizontal="center"/>
    </xf>
    <xf numFmtId="188" fontId="3" fillId="5" borderId="25" xfId="1" applyNumberFormat="1" applyFont="1" applyFill="1" applyBorder="1" applyAlignment="1">
      <alignment horizontal="center"/>
    </xf>
    <xf numFmtId="188" fontId="3" fillId="5" borderId="88" xfId="1" applyNumberFormat="1" applyFont="1" applyFill="1" applyBorder="1"/>
    <xf numFmtId="188" fontId="4" fillId="5" borderId="4" xfId="1" applyNumberFormat="1" applyFont="1" applyFill="1" applyBorder="1"/>
    <xf numFmtId="188" fontId="3" fillId="5" borderId="1" xfId="1" applyNumberFormat="1" applyFont="1" applyFill="1" applyBorder="1"/>
    <xf numFmtId="188" fontId="4" fillId="5" borderId="1" xfId="1" applyNumberFormat="1" applyFont="1" applyFill="1" applyBorder="1"/>
    <xf numFmtId="192" fontId="3" fillId="5" borderId="25" xfId="1" applyNumberFormat="1" applyFont="1" applyFill="1" applyBorder="1" applyAlignment="1">
      <alignment horizontal="center"/>
    </xf>
    <xf numFmtId="192" fontId="3" fillId="5" borderId="1" xfId="1" applyNumberFormat="1" applyFont="1" applyFill="1" applyBorder="1"/>
    <xf numFmtId="192" fontId="4" fillId="5" borderId="4" xfId="1" applyNumberFormat="1" applyFont="1" applyFill="1" applyBorder="1"/>
    <xf numFmtId="0" fontId="3" fillId="5" borderId="1" xfId="0" applyFont="1" applyFill="1" applyBorder="1" applyAlignment="1">
      <alignment horizontal="center"/>
    </xf>
    <xf numFmtId="188" fontId="50" fillId="5" borderId="4" xfId="1" applyNumberFormat="1" applyFont="1" applyFill="1" applyBorder="1"/>
    <xf numFmtId="0" fontId="3" fillId="20" borderId="1" xfId="0" applyFont="1" applyFill="1" applyBorder="1" applyAlignment="1">
      <alignment horizontal="center"/>
    </xf>
    <xf numFmtId="188" fontId="50" fillId="20" borderId="4" xfId="1" applyNumberFormat="1" applyFont="1" applyFill="1" applyBorder="1"/>
    <xf numFmtId="0" fontId="50" fillId="0" borderId="4" xfId="0" applyFont="1" applyBorder="1"/>
    <xf numFmtId="188" fontId="50" fillId="4" borderId="4" xfId="1" applyNumberFormat="1" applyFont="1" applyFill="1" applyBorder="1"/>
    <xf numFmtId="188" fontId="50" fillId="20" borderId="1" xfId="1" applyNumberFormat="1" applyFont="1" applyFill="1" applyBorder="1"/>
    <xf numFmtId="43" fontId="3" fillId="20" borderId="25" xfId="1" applyFont="1" applyFill="1" applyBorder="1" applyAlignment="1">
      <alignment horizontal="center"/>
    </xf>
    <xf numFmtId="43" fontId="3" fillId="20" borderId="1" xfId="1" applyFont="1" applyFill="1" applyBorder="1"/>
    <xf numFmtId="188" fontId="50" fillId="5" borderId="1" xfId="1" applyNumberFormat="1" applyFont="1" applyFill="1" applyBorder="1"/>
    <xf numFmtId="43" fontId="7" fillId="20" borderId="11" xfId="1" applyFont="1" applyFill="1" applyBorder="1" applyAlignment="1">
      <alignment horizontal="center"/>
    </xf>
    <xf numFmtId="43" fontId="7" fillId="20" borderId="7" xfId="1" applyFont="1" applyFill="1" applyBorder="1" applyAlignment="1">
      <alignment horizontal="center"/>
    </xf>
    <xf numFmtId="43" fontId="7" fillId="20" borderId="0" xfId="1" applyFont="1" applyFill="1" applyAlignment="1">
      <alignment horizontal="center"/>
    </xf>
    <xf numFmtId="43" fontId="7" fillId="20" borderId="18" xfId="1" applyFont="1" applyFill="1" applyBorder="1" applyAlignment="1">
      <alignment horizontal="right"/>
    </xf>
    <xf numFmtId="43" fontId="6" fillId="20" borderId="11" xfId="1" applyFont="1" applyFill="1" applyBorder="1"/>
    <xf numFmtId="43" fontId="6" fillId="20" borderId="4" xfId="1" applyFont="1" applyFill="1" applyBorder="1"/>
    <xf numFmtId="43" fontId="6" fillId="20" borderId="11" xfId="1" applyFont="1" applyFill="1" applyBorder="1" applyAlignment="1">
      <alignment horizontal="right"/>
    </xf>
    <xf numFmtId="43" fontId="7" fillId="20" borderId="7" xfId="1" applyFont="1" applyFill="1" applyBorder="1"/>
    <xf numFmtId="43" fontId="7" fillId="20" borderId="106" xfId="1" applyFont="1" applyFill="1" applyBorder="1" applyAlignment="1">
      <alignment vertical="center"/>
    </xf>
    <xf numFmtId="43" fontId="7" fillId="5" borderId="4" xfId="1" applyFont="1" applyFill="1" applyBorder="1" applyAlignment="1">
      <alignment horizontal="center"/>
    </xf>
    <xf numFmtId="43" fontId="7" fillId="5" borderId="1" xfId="1" applyFont="1" applyFill="1" applyBorder="1" applyAlignment="1">
      <alignment horizontal="center"/>
    </xf>
    <xf numFmtId="43" fontId="7" fillId="5" borderId="10" xfId="1" applyFont="1" applyFill="1" applyBorder="1" applyAlignment="1">
      <alignment horizontal="right"/>
    </xf>
    <xf numFmtId="43" fontId="7" fillId="5" borderId="11" xfId="1" applyFont="1" applyFill="1" applyBorder="1" applyAlignment="1">
      <alignment horizontal="center"/>
    </xf>
    <xf numFmtId="43" fontId="6" fillId="5" borderId="4" xfId="1" applyFont="1" applyFill="1" applyBorder="1"/>
    <xf numFmtId="43" fontId="6" fillId="5" borderId="11" xfId="1" applyFont="1" applyFill="1" applyBorder="1"/>
    <xf numFmtId="43" fontId="7" fillId="5" borderId="7" xfId="1" applyFont="1" applyFill="1" applyBorder="1"/>
    <xf numFmtId="43" fontId="7" fillId="5" borderId="107" xfId="1" applyFont="1" applyFill="1" applyBorder="1" applyAlignment="1">
      <alignment vertical="center"/>
    </xf>
    <xf numFmtId="188" fontId="8" fillId="0" borderId="0" xfId="1" applyNumberFormat="1" applyFont="1" applyFill="1" applyAlignment="1">
      <alignment horizontal="left"/>
    </xf>
    <xf numFmtId="43" fontId="57" fillId="0" borderId="0" xfId="1" applyFont="1" applyFill="1"/>
    <xf numFmtId="188" fontId="3" fillId="15" borderId="1" xfId="1" applyNumberFormat="1" applyFont="1" applyFill="1" applyBorder="1" applyAlignment="1">
      <alignment horizontal="center"/>
    </xf>
    <xf numFmtId="188" fontId="3" fillId="15" borderId="25" xfId="1" applyNumberFormat="1" applyFont="1" applyFill="1" applyBorder="1" applyAlignment="1">
      <alignment horizontal="center"/>
    </xf>
    <xf numFmtId="188" fontId="3" fillId="15" borderId="88" xfId="1" applyNumberFormat="1" applyFont="1" applyFill="1" applyBorder="1"/>
    <xf numFmtId="188" fontId="4" fillId="15" borderId="4" xfId="1" applyNumberFormat="1" applyFont="1" applyFill="1" applyBorder="1"/>
    <xf numFmtId="188" fontId="3" fillId="15" borderId="1" xfId="1" applyNumberFormat="1" applyFont="1" applyFill="1" applyBorder="1"/>
    <xf numFmtId="188" fontId="4" fillId="15" borderId="1" xfId="1" applyNumberFormat="1" applyFont="1" applyFill="1" applyBorder="1"/>
    <xf numFmtId="188" fontId="3" fillId="8" borderId="1" xfId="1" applyNumberFormat="1" applyFont="1" applyFill="1" applyBorder="1" applyAlignment="1">
      <alignment horizontal="center"/>
    </xf>
    <xf numFmtId="188" fontId="3" fillId="8" borderId="25" xfId="1" applyNumberFormat="1" applyFont="1" applyFill="1" applyBorder="1" applyAlignment="1">
      <alignment horizontal="center"/>
    </xf>
    <xf numFmtId="188" fontId="3" fillId="8" borderId="88" xfId="1" applyNumberFormat="1" applyFont="1" applyFill="1" applyBorder="1"/>
    <xf numFmtId="188" fontId="4" fillId="8" borderId="4" xfId="1" applyNumberFormat="1" applyFont="1" applyFill="1" applyBorder="1"/>
    <xf numFmtId="188" fontId="3" fillId="8" borderId="1" xfId="1" applyNumberFormat="1" applyFont="1" applyFill="1" applyBorder="1"/>
    <xf numFmtId="188" fontId="4" fillId="8" borderId="1" xfId="1" applyNumberFormat="1" applyFont="1" applyFill="1" applyBorder="1"/>
    <xf numFmtId="43" fontId="4" fillId="8" borderId="4" xfId="1" applyFont="1" applyFill="1" applyBorder="1"/>
    <xf numFmtId="0" fontId="7" fillId="0" borderId="0" xfId="0" applyFont="1" applyAlignment="1">
      <alignment horizontal="center"/>
    </xf>
    <xf numFmtId="188" fontId="6" fillId="0" borderId="0" xfId="1" applyNumberFormat="1" applyFont="1" applyFill="1" applyBorder="1" applyAlignment="1">
      <alignment horizontal="center" vertical="center"/>
    </xf>
    <xf numFmtId="188" fontId="27" fillId="0" borderId="0" xfId="1" applyNumberFormat="1" applyFont="1" applyFill="1" applyBorder="1"/>
    <xf numFmtId="188" fontId="8" fillId="0" borderId="0" xfId="1" applyNumberFormat="1" applyFont="1" applyFill="1" applyBorder="1"/>
    <xf numFmtId="188" fontId="5" fillId="0" borderId="0" xfId="1" applyNumberFormat="1" applyFont="1" applyFill="1" applyBorder="1"/>
    <xf numFmtId="188" fontId="6" fillId="0" borderId="0" xfId="1" applyNumberFormat="1" applyFont="1" applyFill="1" applyBorder="1"/>
    <xf numFmtId="43" fontId="5" fillId="0" borderId="93" xfId="0" applyNumberFormat="1" applyFont="1" applyBorder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88" fontId="3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43" fontId="4" fillId="8" borderId="0" xfId="1" applyFont="1" applyFill="1"/>
    <xf numFmtId="43" fontId="3" fillId="8" borderId="4" xfId="1" applyFont="1" applyFill="1" applyBorder="1" applyAlignment="1">
      <alignment horizontal="center"/>
    </xf>
    <xf numFmtId="43" fontId="3" fillId="8" borderId="1" xfId="1" applyFont="1" applyFill="1" applyBorder="1" applyAlignment="1">
      <alignment horizontal="center"/>
    </xf>
    <xf numFmtId="43" fontId="3" fillId="8" borderId="25" xfId="1" applyFont="1" applyFill="1" applyBorder="1" applyAlignment="1">
      <alignment horizontal="center"/>
    </xf>
    <xf numFmtId="43" fontId="3" fillId="8" borderId="88" xfId="1" applyFont="1" applyFill="1" applyBorder="1"/>
    <xf numFmtId="43" fontId="3" fillId="8" borderId="1" xfId="1" applyFont="1" applyFill="1" applyBorder="1"/>
    <xf numFmtId="43" fontId="4" fillId="8" borderId="1" xfId="1" applyFont="1" applyFill="1" applyBorder="1"/>
    <xf numFmtId="43" fontId="3" fillId="8" borderId="10" xfId="1" applyFont="1" applyFill="1" applyBorder="1" applyAlignment="1">
      <alignment horizontal="center" vertical="center"/>
    </xf>
    <xf numFmtId="43" fontId="4" fillId="8" borderId="2" xfId="1" applyFont="1" applyFill="1" applyBorder="1"/>
    <xf numFmtId="43" fontId="4" fillId="8" borderId="10" xfId="1" applyFont="1" applyFill="1" applyBorder="1" applyAlignment="1">
      <alignment horizontal="right" vertical="center"/>
    </xf>
    <xf numFmtId="43" fontId="4" fillId="5" borderId="0" xfId="1" applyFont="1" applyFill="1"/>
    <xf numFmtId="43" fontId="3" fillId="5" borderId="4" xfId="1" applyFont="1" applyFill="1" applyBorder="1" applyAlignment="1">
      <alignment horizontal="center"/>
    </xf>
    <xf numFmtId="43" fontId="3" fillId="5" borderId="1" xfId="1" applyFont="1" applyFill="1" applyBorder="1" applyAlignment="1">
      <alignment horizontal="center"/>
    </xf>
    <xf numFmtId="43" fontId="3" fillId="5" borderId="25" xfId="1" applyFont="1" applyFill="1" applyBorder="1" applyAlignment="1">
      <alignment horizontal="center"/>
    </xf>
    <xf numFmtId="43" fontId="3" fillId="5" borderId="88" xfId="1" applyFont="1" applyFill="1" applyBorder="1"/>
    <xf numFmtId="43" fontId="4" fillId="5" borderId="4" xfId="1" applyFont="1" applyFill="1" applyBorder="1"/>
    <xf numFmtId="43" fontId="3" fillId="5" borderId="1" xfId="1" applyFont="1" applyFill="1" applyBorder="1"/>
    <xf numFmtId="43" fontId="4" fillId="5" borderId="1" xfId="1" applyFont="1" applyFill="1" applyBorder="1"/>
    <xf numFmtId="43" fontId="3" fillId="5" borderId="10" xfId="1" applyFont="1" applyFill="1" applyBorder="1" applyAlignment="1">
      <alignment horizontal="center" vertical="center"/>
    </xf>
    <xf numFmtId="43" fontId="4" fillId="5" borderId="2" xfId="1" applyFont="1" applyFill="1" applyBorder="1"/>
    <xf numFmtId="43" fontId="4" fillId="5" borderId="10" xfId="1" applyFont="1" applyFill="1" applyBorder="1" applyAlignment="1">
      <alignment horizontal="right" vertical="center"/>
    </xf>
    <xf numFmtId="43" fontId="4" fillId="0" borderId="0" xfId="1" applyFont="1" applyFill="1" applyAlignment="1">
      <alignment horizontal="center" vertical="center"/>
    </xf>
    <xf numFmtId="43" fontId="7" fillId="0" borderId="0" xfId="1" applyFont="1" applyFill="1" applyBorder="1" applyAlignment="1">
      <alignment vertical="center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>
      <alignment horizontal="left"/>
    </xf>
    <xf numFmtId="188" fontId="4" fillId="6" borderId="4" xfId="1" applyNumberFormat="1" applyFont="1" applyFill="1" applyBorder="1"/>
    <xf numFmtId="188" fontId="5" fillId="6" borderId="5" xfId="1" applyNumberFormat="1" applyFont="1" applyFill="1" applyBorder="1"/>
    <xf numFmtId="0" fontId="59" fillId="0" borderId="0" xfId="0" applyFont="1"/>
    <xf numFmtId="188" fontId="3" fillId="0" borderId="0" xfId="1" applyNumberFormat="1" applyFont="1" applyFill="1" applyBorder="1" applyAlignment="1">
      <alignment horizontal="center"/>
    </xf>
    <xf numFmtId="188" fontId="3" fillId="0" borderId="0" xfId="1" applyNumberFormat="1" applyFont="1" applyFill="1" applyBorder="1"/>
    <xf numFmtId="188" fontId="60" fillId="0" borderId="0" xfId="1" applyNumberFormat="1" applyFont="1" applyFill="1"/>
    <xf numFmtId="188" fontId="7" fillId="0" borderId="0" xfId="1" applyNumberFormat="1" applyFont="1" applyFill="1"/>
    <xf numFmtId="188" fontId="5" fillId="0" borderId="0" xfId="1" applyNumberFormat="1" applyFont="1"/>
    <xf numFmtId="188" fontId="4" fillId="6" borderId="0" xfId="0" applyNumberFormat="1" applyFont="1" applyFill="1"/>
    <xf numFmtId="197" fontId="3" fillId="0" borderId="15" xfId="1" applyNumberFormat="1" applyFont="1" applyFill="1" applyBorder="1" applyAlignment="1"/>
    <xf numFmtId="195" fontId="5" fillId="0" borderId="15" xfId="0" applyNumberFormat="1" applyFont="1" applyBorder="1" applyAlignment="1">
      <alignment vertical="center"/>
    </xf>
    <xf numFmtId="195" fontId="5" fillId="0" borderId="15" xfId="0" quotePrefix="1" applyNumberFormat="1" applyFont="1" applyBorder="1" applyAlignment="1">
      <alignment horizontal="right" vertical="center"/>
    </xf>
    <xf numFmtId="15" fontId="8" fillId="0" borderId="108" xfId="0" applyNumberFormat="1" applyFont="1" applyBorder="1" applyAlignment="1">
      <alignment horizontal="right"/>
    </xf>
    <xf numFmtId="188" fontId="5" fillId="0" borderId="11" xfId="0" applyNumberFormat="1" applyFont="1" applyBorder="1"/>
    <xf numFmtId="3" fontId="5" fillId="0" borderId="11" xfId="0" applyNumberFormat="1" applyFont="1" applyBorder="1"/>
    <xf numFmtId="188" fontId="5" fillId="0" borderId="11" xfId="1" applyNumberFormat="1" applyFont="1" applyBorder="1"/>
    <xf numFmtId="188" fontId="5" fillId="0" borderId="11" xfId="1" applyNumberFormat="1" applyFont="1" applyFill="1" applyBorder="1"/>
    <xf numFmtId="0" fontId="5" fillId="0" borderId="11" xfId="0" applyFont="1" applyBorder="1"/>
    <xf numFmtId="188" fontId="5" fillId="0" borderId="96" xfId="0" applyNumberFormat="1" applyFont="1" applyBorder="1" applyAlignment="1">
      <alignment horizontal="center" vertical="center"/>
    </xf>
    <xf numFmtId="188" fontId="5" fillId="0" borderId="109" xfId="1" applyNumberFormat="1" applyFont="1" applyBorder="1" applyAlignment="1">
      <alignment horizontal="center" vertical="center"/>
    </xf>
    <xf numFmtId="0" fontId="8" fillId="0" borderId="109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188" fontId="5" fillId="0" borderId="109" xfId="0" applyNumberFormat="1" applyFont="1" applyBorder="1" applyAlignment="1">
      <alignment horizontal="center" vertical="center"/>
    </xf>
    <xf numFmtId="188" fontId="5" fillId="0" borderId="110" xfId="1" applyNumberFormat="1" applyFont="1" applyFill="1" applyBorder="1"/>
    <xf numFmtId="188" fontId="8" fillId="0" borderId="109" xfId="1" applyNumberFormat="1" applyFont="1" applyBorder="1"/>
    <xf numFmtId="188" fontId="5" fillId="6" borderId="109" xfId="1" applyNumberFormat="1" applyFont="1" applyFill="1" applyBorder="1"/>
    <xf numFmtId="188" fontId="5" fillId="0" borderId="109" xfId="1" applyNumberFormat="1" applyFont="1" applyBorder="1"/>
    <xf numFmtId="188" fontId="14" fillId="0" borderId="109" xfId="1" applyNumberFormat="1" applyFont="1" applyBorder="1" applyAlignment="1">
      <alignment horizontal="center" vertical="center"/>
    </xf>
    <xf numFmtId="3" fontId="5" fillId="0" borderId="109" xfId="0" applyNumberFormat="1" applyFont="1" applyBorder="1"/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4" xfId="0" applyFont="1" applyBorder="1"/>
    <xf numFmtId="0" fontId="5" fillId="0" borderId="4" xfId="0" applyFont="1" applyBorder="1" applyAlignment="1">
      <alignment horizontal="left" vertical="center"/>
    </xf>
    <xf numFmtId="188" fontId="5" fillId="0" borderId="6" xfId="1" applyNumberFormat="1" applyFont="1" applyBorder="1"/>
    <xf numFmtId="188" fontId="5" fillId="0" borderId="18" xfId="1" applyNumberFormat="1" applyFont="1" applyBorder="1"/>
    <xf numFmtId="188" fontId="3" fillId="21" borderId="4" xfId="1" applyNumberFormat="1" applyFont="1" applyFill="1" applyBorder="1"/>
    <xf numFmtId="188" fontId="4" fillId="9" borderId="4" xfId="1" applyNumberFormat="1" applyFont="1" applyFill="1" applyBorder="1"/>
    <xf numFmtId="188" fontId="3" fillId="7" borderId="4" xfId="1" applyNumberFormat="1" applyFont="1" applyFill="1" applyBorder="1"/>
    <xf numFmtId="188" fontId="3" fillId="22" borderId="10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horizontal="center"/>
    </xf>
    <xf numFmtId="0" fontId="7" fillId="23" borderId="2" xfId="0" applyFont="1" applyFill="1" applyBorder="1" applyAlignment="1">
      <alignment horizontal="center"/>
    </xf>
    <xf numFmtId="0" fontId="7" fillId="8" borderId="111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23" borderId="4" xfId="0" applyFont="1" applyFill="1" applyBorder="1" applyAlignment="1">
      <alignment horizontal="center"/>
    </xf>
    <xf numFmtId="0" fontId="7" fillId="8" borderId="93" xfId="0" applyFont="1" applyFill="1" applyBorder="1" applyAlignment="1">
      <alignment horizontal="center"/>
    </xf>
    <xf numFmtId="0" fontId="7" fillId="8" borderId="84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188" fontId="61" fillId="0" borderId="0" xfId="0" applyNumberFormat="1" applyFont="1"/>
    <xf numFmtId="0" fontId="61" fillId="0" borderId="0" xfId="0" applyFont="1"/>
    <xf numFmtId="0" fontId="7" fillId="8" borderId="4" xfId="0" applyFont="1" applyFill="1" applyBorder="1"/>
    <xf numFmtId="0" fontId="7" fillId="8" borderId="93" xfId="0" applyFont="1" applyFill="1" applyBorder="1"/>
    <xf numFmtId="0" fontId="7" fillId="8" borderId="24" xfId="0" applyFont="1" applyFill="1" applyBorder="1"/>
    <xf numFmtId="0" fontId="7" fillId="8" borderId="1" xfId="0" applyFont="1" applyFill="1" applyBorder="1"/>
    <xf numFmtId="0" fontId="7" fillId="8" borderId="1" xfId="0" applyFont="1" applyFill="1" applyBorder="1" applyAlignment="1">
      <alignment horizontal="center"/>
    </xf>
    <xf numFmtId="0" fontId="7" fillId="23" borderId="1" xfId="0" applyFont="1" applyFill="1" applyBorder="1" applyAlignment="1">
      <alignment horizontal="center"/>
    </xf>
    <xf numFmtId="0" fontId="7" fillId="8" borderId="94" xfId="0" applyFont="1" applyFill="1" applyBorder="1"/>
    <xf numFmtId="0" fontId="7" fillId="8" borderId="71" xfId="0" applyFont="1" applyFill="1" applyBorder="1"/>
    <xf numFmtId="0" fontId="7" fillId="8" borderId="7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188" fontId="5" fillId="0" borderId="112" xfId="0" applyNumberFormat="1" applyFont="1" applyBorder="1" applyAlignment="1">
      <alignment horizontal="center" vertical="center"/>
    </xf>
    <xf numFmtId="188" fontId="5" fillId="11" borderId="109" xfId="1" applyNumberFormat="1" applyFont="1" applyFill="1" applyBorder="1" applyAlignment="1">
      <alignment horizontal="center" vertical="center"/>
    </xf>
    <xf numFmtId="188" fontId="53" fillId="11" borderId="109" xfId="1" applyNumberFormat="1" applyFont="1" applyFill="1" applyBorder="1"/>
    <xf numFmtId="188" fontId="8" fillId="0" borderId="0" xfId="1" applyNumberFormat="1" applyFont="1" applyFill="1" applyBorder="1" applyAlignment="1">
      <alignment horizontal="left" vertical="center"/>
    </xf>
    <xf numFmtId="188" fontId="62" fillId="0" borderId="109" xfId="1" applyNumberFormat="1" applyFont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center" vertical="center"/>
    </xf>
    <xf numFmtId="197" fontId="7" fillId="0" borderId="0" xfId="1" applyNumberFormat="1" applyFont="1" applyFill="1" applyBorder="1" applyAlignment="1">
      <alignment horizontal="center" vertical="center"/>
    </xf>
    <xf numFmtId="188" fontId="7" fillId="0" borderId="0" xfId="0" applyNumberFormat="1" applyFont="1" applyAlignment="1">
      <alignment horizontal="left" vertical="center"/>
    </xf>
    <xf numFmtId="3" fontId="5" fillId="0" borderId="0" xfId="1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88" fontId="6" fillId="0" borderId="0" xfId="1" applyNumberFormat="1" applyFont="1" applyFill="1" applyAlignment="1">
      <alignment horizontal="center"/>
    </xf>
    <xf numFmtId="188" fontId="7" fillId="0" borderId="0" xfId="0" applyNumberFormat="1" applyFont="1" applyAlignment="1">
      <alignment horizontal="center"/>
    </xf>
    <xf numFmtId="188" fontId="5" fillId="0" borderId="0" xfId="0" applyNumberFormat="1" applyFont="1" applyAlignment="1">
      <alignment horizontal="left" vertical="center"/>
    </xf>
    <xf numFmtId="188" fontId="5" fillId="0" borderId="0" xfId="0" applyNumberFormat="1" applyFont="1" applyAlignment="1">
      <alignment horizontal="right" vertical="center"/>
    </xf>
    <xf numFmtId="188" fontId="7" fillId="0" borderId="0" xfId="1" applyNumberFormat="1" applyFont="1" applyFill="1" applyAlignment="1">
      <alignment horizontal="center" vertical="center"/>
    </xf>
    <xf numFmtId="188" fontId="6" fillId="0" borderId="0" xfId="1" applyNumberFormat="1" applyFont="1" applyFill="1" applyAlignment="1">
      <alignment horizontal="center" vertical="center"/>
    </xf>
    <xf numFmtId="188" fontId="7" fillId="0" borderId="0" xfId="1" applyNumberFormat="1" applyFont="1" applyFill="1" applyAlignment="1">
      <alignment vertical="center"/>
    </xf>
    <xf numFmtId="188" fontId="6" fillId="0" borderId="0" xfId="1" applyNumberFormat="1" applyFont="1" applyFill="1" applyAlignment="1">
      <alignment vertical="center"/>
    </xf>
    <xf numFmtId="188" fontId="6" fillId="0" borderId="0" xfId="0" applyNumberFormat="1" applyFont="1" applyAlignment="1">
      <alignment horizontal="center" vertical="center"/>
    </xf>
    <xf numFmtId="49" fontId="6" fillId="0" borderId="93" xfId="0" applyNumberFormat="1" applyFont="1" applyBorder="1" applyAlignment="1">
      <alignment horizontal="center"/>
    </xf>
    <xf numFmtId="188" fontId="6" fillId="0" borderId="11" xfId="0" applyNumberFormat="1" applyFont="1" applyBorder="1"/>
    <xf numFmtId="3" fontId="8" fillId="0" borderId="93" xfId="1" applyNumberFormat="1" applyFont="1" applyFill="1" applyBorder="1" applyAlignment="1">
      <alignment horizontal="center"/>
    </xf>
    <xf numFmtId="0" fontId="6" fillId="0" borderId="11" xfId="0" applyFont="1" applyBorder="1"/>
    <xf numFmtId="188" fontId="5" fillId="3" borderId="100" xfId="1" applyNumberFormat="1" applyFont="1" applyFill="1" applyBorder="1"/>
    <xf numFmtId="188" fontId="6" fillId="0" borderId="4" xfId="1" applyNumberFormat="1" applyFont="1" applyFill="1" applyBorder="1"/>
    <xf numFmtId="188" fontId="8" fillId="0" borderId="4" xfId="0" applyNumberFormat="1" applyFont="1" applyBorder="1"/>
    <xf numFmtId="188" fontId="6" fillId="0" borderId="4" xfId="1" applyNumberFormat="1" applyFont="1" applyFill="1" applyBorder="1" applyAlignment="1">
      <alignment horizontal="left"/>
    </xf>
    <xf numFmtId="188" fontId="6" fillId="0" borderId="4" xfId="1" applyNumberFormat="1" applyFont="1" applyFill="1" applyBorder="1" applyAlignment="1">
      <alignment horizontal="right"/>
    </xf>
    <xf numFmtId="188" fontId="6" fillId="0" borderId="4" xfId="0" applyNumberFormat="1" applyFont="1" applyBorder="1"/>
    <xf numFmtId="188" fontId="54" fillId="0" borderId="4" xfId="0" applyNumberFormat="1" applyFont="1" applyBorder="1"/>
    <xf numFmtId="188" fontId="7" fillId="0" borderId="11" xfId="0" applyNumberFormat="1" applyFont="1" applyBorder="1"/>
    <xf numFmtId="188" fontId="8" fillId="0" borderId="93" xfId="1" applyNumberFormat="1" applyFont="1" applyFill="1" applyBorder="1" applyAlignment="1">
      <alignment horizontal="center" vertical="center"/>
    </xf>
    <xf numFmtId="3" fontId="7" fillId="0" borderId="11" xfId="0" applyNumberFormat="1" applyFont="1" applyBorder="1"/>
    <xf numFmtId="188" fontId="7" fillId="0" borderId="4" xfId="0" applyNumberFormat="1" applyFont="1" applyBorder="1"/>
    <xf numFmtId="3" fontId="5" fillId="0" borderId="113" xfId="1" applyNumberFormat="1" applyFont="1" applyFill="1" applyBorder="1" applyAlignment="1">
      <alignment horizontal="center"/>
    </xf>
    <xf numFmtId="188" fontId="8" fillId="0" borderId="69" xfId="1" applyNumberFormat="1" applyFont="1" applyFill="1" applyBorder="1"/>
    <xf numFmtId="0" fontId="7" fillId="0" borderId="69" xfId="0" applyFont="1" applyBorder="1"/>
    <xf numFmtId="3" fontId="5" fillId="0" borderId="114" xfId="1" applyNumberFormat="1" applyFont="1" applyFill="1" applyBorder="1" applyAlignment="1">
      <alignment horizontal="center"/>
    </xf>
    <xf numFmtId="188" fontId="8" fillId="0" borderId="70" xfId="1" applyNumberFormat="1" applyFont="1" applyFill="1" applyBorder="1"/>
    <xf numFmtId="188" fontId="7" fillId="0" borderId="70" xfId="0" applyNumberFormat="1" applyFont="1" applyBorder="1"/>
    <xf numFmtId="0" fontId="7" fillId="0" borderId="0" xfId="0" quotePrefix="1" applyFont="1"/>
    <xf numFmtId="3" fontId="8" fillId="0" borderId="0" xfId="1" applyNumberFormat="1" applyFont="1" applyFill="1" applyBorder="1"/>
    <xf numFmtId="188" fontId="5" fillId="0" borderId="9" xfId="1" applyNumberFormat="1" applyFont="1" applyFill="1" applyBorder="1"/>
    <xf numFmtId="3" fontId="5" fillId="0" borderId="0" xfId="1" applyNumberFormat="1" applyFont="1" applyFill="1" applyBorder="1"/>
    <xf numFmtId="3" fontId="5" fillId="0" borderId="0" xfId="0" applyNumberFormat="1" applyFont="1" applyAlignment="1">
      <alignment horizontal="right" vertical="center"/>
    </xf>
    <xf numFmtId="188" fontId="5" fillId="0" borderId="100" xfId="1" applyNumberFormat="1" applyFont="1" applyFill="1" applyBorder="1" applyAlignment="1">
      <alignment horizontal="center"/>
    </xf>
    <xf numFmtId="188" fontId="32" fillId="0" borderId="15" xfId="1" applyNumberFormat="1" applyFont="1" applyFill="1" applyBorder="1" applyAlignment="1">
      <alignment horizontal="center"/>
    </xf>
    <xf numFmtId="188" fontId="5" fillId="0" borderId="1" xfId="1" applyNumberFormat="1" applyFont="1" applyFill="1" applyBorder="1" applyAlignment="1">
      <alignment horizontal="center"/>
    </xf>
    <xf numFmtId="188" fontId="7" fillId="0" borderId="1" xfId="1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188" fontId="7" fillId="0" borderId="7" xfId="1" applyNumberFormat="1" applyFont="1" applyFill="1" applyBorder="1" applyAlignment="1">
      <alignment horizontal="center"/>
    </xf>
    <xf numFmtId="188" fontId="54" fillId="0" borderId="11" xfId="0" applyNumberFormat="1" applyFont="1" applyBorder="1"/>
    <xf numFmtId="187" fontId="4" fillId="6" borderId="0" xfId="0" applyNumberFormat="1" applyFont="1" applyFill="1"/>
    <xf numFmtId="188" fontId="4" fillId="6" borderId="0" xfId="1" applyNumberFormat="1" applyFont="1" applyFill="1"/>
    <xf numFmtId="188" fontId="3" fillId="4" borderId="2" xfId="1" applyNumberFormat="1" applyFont="1" applyFill="1" applyBorder="1"/>
    <xf numFmtId="188" fontId="3" fillId="0" borderId="2" xfId="1" applyNumberFormat="1" applyFont="1" applyFill="1" applyBorder="1"/>
    <xf numFmtId="188" fontId="3" fillId="4" borderId="4" xfId="1" applyNumberFormat="1" applyFont="1" applyFill="1" applyBorder="1"/>
    <xf numFmtId="188" fontId="3" fillId="20" borderId="4" xfId="1" applyNumberFormat="1" applyFont="1" applyFill="1" applyBorder="1"/>
    <xf numFmtId="188" fontId="3" fillId="5" borderId="4" xfId="1" applyNumberFormat="1" applyFont="1" applyFill="1" applyBorder="1"/>
    <xf numFmtId="188" fontId="3" fillId="0" borderId="0" xfId="1" applyNumberFormat="1" applyFont="1" applyFill="1" applyBorder="1" applyAlignment="1">
      <alignment horizontal="center" vertical="center"/>
    </xf>
    <xf numFmtId="188" fontId="4" fillId="0" borderId="0" xfId="1" applyNumberFormat="1" applyFont="1" applyFill="1" applyBorder="1" applyAlignment="1">
      <alignment horizontal="center" vertical="center"/>
    </xf>
    <xf numFmtId="188" fontId="3" fillId="0" borderId="0" xfId="1" applyNumberFormat="1" applyFont="1" applyFill="1" applyAlignment="1">
      <alignment horizontal="center" vertical="center"/>
    </xf>
    <xf numFmtId="188" fontId="4" fillId="0" borderId="0" xfId="1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88" fontId="3" fillId="0" borderId="0" xfId="0" applyNumberFormat="1" applyFont="1" applyAlignment="1">
      <alignment horizontal="center" vertical="center"/>
    </xf>
    <xf numFmtId="188" fontId="3" fillId="0" borderId="115" xfId="1" applyNumberFormat="1" applyFont="1" applyFill="1" applyBorder="1" applyAlignment="1">
      <alignment vertical="center"/>
    </xf>
    <xf numFmtId="188" fontId="33" fillId="0" borderId="103" xfId="1" applyNumberFormat="1" applyFont="1" applyFill="1" applyBorder="1" applyAlignment="1">
      <alignment horizontal="center"/>
    </xf>
    <xf numFmtId="188" fontId="3" fillId="0" borderId="77" xfId="1" applyNumberFormat="1" applyFont="1" applyFill="1" applyBorder="1" applyAlignment="1">
      <alignment horizontal="center"/>
    </xf>
    <xf numFmtId="188" fontId="3" fillId="0" borderId="75" xfId="1" applyNumberFormat="1" applyFont="1" applyFill="1" applyBorder="1" applyAlignment="1">
      <alignment horizontal="center"/>
    </xf>
    <xf numFmtId="0" fontId="3" fillId="0" borderId="74" xfId="0" applyFont="1" applyBorder="1" applyAlignment="1">
      <alignment horizontal="center"/>
    </xf>
    <xf numFmtId="188" fontId="3" fillId="0" borderId="116" xfId="1" applyNumberFormat="1" applyFont="1" applyFill="1" applyBorder="1" applyAlignment="1">
      <alignment horizontal="center"/>
    </xf>
    <xf numFmtId="0" fontId="3" fillId="0" borderId="103" xfId="0" applyFont="1" applyBorder="1" applyAlignment="1">
      <alignment horizontal="center"/>
    </xf>
    <xf numFmtId="188" fontId="4" fillId="0" borderId="21" xfId="1" applyNumberFormat="1" applyFont="1" applyFill="1" applyBorder="1" applyAlignment="1">
      <alignment horizontal="center" vertical="center"/>
    </xf>
    <xf numFmtId="3" fontId="3" fillId="0" borderId="60" xfId="0" applyNumberFormat="1" applyFont="1" applyBorder="1"/>
    <xf numFmtId="188" fontId="4" fillId="0" borderId="11" xfId="1" applyNumberFormat="1" applyFont="1" applyFill="1" applyBorder="1" applyAlignment="1">
      <alignment horizontal="center" vertical="center"/>
    </xf>
    <xf numFmtId="3" fontId="3" fillId="0" borderId="0" xfId="0" applyNumberFormat="1" applyFont="1"/>
    <xf numFmtId="3" fontId="3" fillId="0" borderId="0" xfId="1" applyNumberFormat="1" applyFont="1" applyFill="1" applyBorder="1" applyAlignment="1">
      <alignment horizontal="center"/>
    </xf>
    <xf numFmtId="188" fontId="4" fillId="0" borderId="0" xfId="1" applyNumberFormat="1" applyFont="1" applyFill="1" applyBorder="1" applyAlignment="1">
      <alignment horizontal="left" vertical="center"/>
    </xf>
    <xf numFmtId="188" fontId="4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3" fontId="3" fillId="0" borderId="93" xfId="0" applyNumberFormat="1" applyFont="1" applyBorder="1" applyAlignment="1">
      <alignment horizontal="left" vertical="center"/>
    </xf>
    <xf numFmtId="188" fontId="4" fillId="0" borderId="0" xfId="0" applyNumberFormat="1" applyFont="1" applyAlignment="1">
      <alignment horizontal="left" vertical="center"/>
    </xf>
    <xf numFmtId="188" fontId="3" fillId="0" borderId="0" xfId="1" applyNumberFormat="1" applyFont="1" applyFill="1" applyAlignment="1">
      <alignment vertical="center"/>
    </xf>
    <xf numFmtId="3" fontId="3" fillId="0" borderId="0" xfId="0" applyNumberFormat="1" applyFont="1" applyAlignment="1">
      <alignment horizontal="left" vertical="center"/>
    </xf>
    <xf numFmtId="188" fontId="3" fillId="0" borderId="0" xfId="0" applyNumberFormat="1" applyFont="1" applyAlignment="1">
      <alignment horizontal="left" vertical="center"/>
    </xf>
    <xf numFmtId="188" fontId="3" fillId="0" borderId="0" xfId="0" applyNumberFormat="1" applyFont="1" applyAlignment="1">
      <alignment horizontal="right" vertical="center"/>
    </xf>
    <xf numFmtId="188" fontId="4" fillId="0" borderId="0" xfId="1" applyNumberFormat="1" applyFont="1" applyAlignment="1">
      <alignment vertical="center"/>
    </xf>
    <xf numFmtId="188" fontId="4" fillId="0" borderId="0" xfId="1" applyNumberFormat="1" applyFont="1" applyFill="1" applyAlignment="1">
      <alignment vertical="center"/>
    </xf>
    <xf numFmtId="188" fontId="3" fillId="0" borderId="0" xfId="1" applyNumberFormat="1" applyFont="1" applyAlignment="1">
      <alignment vertical="center"/>
    </xf>
    <xf numFmtId="188" fontId="4" fillId="0" borderId="0" xfId="1" applyNumberFormat="1" applyFont="1" applyFill="1" applyAlignment="1">
      <alignment horizontal="center"/>
    </xf>
    <xf numFmtId="188" fontId="4" fillId="0" borderId="117" xfId="1" applyNumberFormat="1" applyFont="1" applyFill="1" applyBorder="1"/>
    <xf numFmtId="188" fontId="4" fillId="0" borderId="118" xfId="1" applyNumberFormat="1" applyFont="1" applyFill="1" applyBorder="1"/>
    <xf numFmtId="188" fontId="4" fillId="0" borderId="119" xfId="1" applyNumberFormat="1" applyFont="1" applyFill="1" applyBorder="1"/>
    <xf numFmtId="188" fontId="3" fillId="0" borderId="120" xfId="0" applyNumberFormat="1" applyFont="1" applyBorder="1"/>
    <xf numFmtId="188" fontId="4" fillId="0" borderId="121" xfId="1" applyNumberFormat="1" applyFont="1" applyFill="1" applyBorder="1"/>
    <xf numFmtId="188" fontId="3" fillId="0" borderId="117" xfId="0" applyNumberFormat="1" applyFont="1" applyBorder="1"/>
    <xf numFmtId="188" fontId="4" fillId="0" borderId="47" xfId="1" applyNumberFormat="1" applyFont="1" applyFill="1" applyBorder="1"/>
    <xf numFmtId="188" fontId="4" fillId="0" borderId="42" xfId="1" applyNumberFormat="1" applyFont="1" applyFill="1" applyBorder="1"/>
    <xf numFmtId="188" fontId="4" fillId="0" borderId="35" xfId="1" applyNumberFormat="1" applyFont="1" applyFill="1" applyBorder="1"/>
    <xf numFmtId="188" fontId="3" fillId="0" borderId="49" xfId="0" applyNumberFormat="1" applyFont="1" applyBorder="1"/>
    <xf numFmtId="188" fontId="4" fillId="0" borderId="43" xfId="1" applyNumberFormat="1" applyFont="1" applyFill="1" applyBorder="1"/>
    <xf numFmtId="188" fontId="3" fillId="0" borderId="47" xfId="0" applyNumberFormat="1" applyFont="1" applyBorder="1"/>
    <xf numFmtId="188" fontId="4" fillId="0" borderId="42" xfId="0" applyNumberFormat="1" applyFont="1" applyBorder="1"/>
    <xf numFmtId="188" fontId="4" fillId="0" borderId="35" xfId="1" applyNumberFormat="1" applyFont="1" applyFill="1" applyBorder="1" applyAlignment="1">
      <alignment horizontal="left"/>
    </xf>
    <xf numFmtId="188" fontId="4" fillId="0" borderId="43" xfId="0" applyNumberFormat="1" applyFont="1" applyBorder="1"/>
    <xf numFmtId="188" fontId="4" fillId="0" borderId="35" xfId="1" applyNumberFormat="1" applyFont="1" applyFill="1" applyBorder="1" applyAlignment="1">
      <alignment horizontal="right"/>
    </xf>
    <xf numFmtId="49" fontId="4" fillId="0" borderId="122" xfId="0" applyNumberFormat="1" applyFont="1" applyBorder="1" applyAlignment="1">
      <alignment horizontal="center"/>
    </xf>
    <xf numFmtId="49" fontId="4" fillId="0" borderId="46" xfId="0" applyNumberFormat="1" applyFont="1" applyBorder="1" applyAlignment="1">
      <alignment horizontal="center"/>
    </xf>
    <xf numFmtId="3" fontId="3" fillId="0" borderId="123" xfId="1" applyNumberFormat="1" applyFont="1" applyFill="1" applyBorder="1" applyAlignment="1">
      <alignment horizontal="center" vertical="center"/>
    </xf>
    <xf numFmtId="188" fontId="4" fillId="0" borderId="124" xfId="1" applyNumberFormat="1" applyFont="1" applyFill="1" applyBorder="1" applyAlignment="1">
      <alignment vertical="center"/>
    </xf>
    <xf numFmtId="188" fontId="3" fillId="0" borderId="123" xfId="0" applyNumberFormat="1" applyFont="1" applyBorder="1" applyAlignment="1">
      <alignment vertical="center"/>
    </xf>
    <xf numFmtId="188" fontId="3" fillId="0" borderId="125" xfId="0" applyNumberFormat="1" applyFont="1" applyBorder="1" applyAlignment="1">
      <alignment vertical="center"/>
    </xf>
    <xf numFmtId="188" fontId="3" fillId="0" borderId="124" xfId="0" applyNumberFormat="1" applyFont="1" applyBorder="1" applyAlignment="1">
      <alignment vertical="center"/>
    </xf>
    <xf numFmtId="188" fontId="4" fillId="0" borderId="24" xfId="1" applyNumberFormat="1" applyFont="1" applyFill="1" applyBorder="1" applyAlignment="1">
      <alignment horizontal="center" vertical="center" wrapText="1"/>
    </xf>
    <xf numFmtId="197" fontId="7" fillId="0" borderId="0" xfId="1" applyNumberFormat="1" applyFont="1" applyBorder="1" applyAlignment="1">
      <alignment vertical="center"/>
    </xf>
    <xf numFmtId="43" fontId="4" fillId="8" borderId="4" xfId="1" applyFont="1" applyFill="1" applyBorder="1" applyAlignment="1">
      <alignment horizontal="center"/>
    </xf>
    <xf numFmtId="43" fontId="4" fillId="5" borderId="88" xfId="1" applyFont="1" applyFill="1" applyBorder="1"/>
    <xf numFmtId="188" fontId="8" fillId="0" borderId="11" xfId="1" applyNumberFormat="1" applyFont="1" applyFill="1" applyBorder="1" applyAlignment="1">
      <alignment horizontal="center"/>
    </xf>
    <xf numFmtId="43" fontId="6" fillId="0" borderId="0" xfId="1" applyFont="1" applyAlignment="1">
      <alignment horizontal="center" vertical="center"/>
    </xf>
    <xf numFmtId="188" fontId="6" fillId="0" borderId="0" xfId="1" applyNumberFormat="1" applyFont="1" applyAlignment="1">
      <alignment horizontal="center" vertical="center"/>
    </xf>
    <xf numFmtId="43" fontId="6" fillId="0" borderId="0" xfId="1" applyFont="1" applyFill="1" applyAlignment="1">
      <alignment horizontal="center" vertical="center"/>
    </xf>
    <xf numFmtId="43" fontId="3" fillId="24" borderId="25" xfId="1" applyFont="1" applyFill="1" applyBorder="1" applyAlignment="1">
      <alignment horizontal="center"/>
    </xf>
    <xf numFmtId="188" fontId="3" fillId="17" borderId="4" xfId="1" applyNumberFormat="1" applyFont="1" applyFill="1" applyBorder="1"/>
    <xf numFmtId="188" fontId="3" fillId="25" borderId="89" xfId="0" applyNumberFormat="1" applyFont="1" applyFill="1" applyBorder="1"/>
    <xf numFmtId="188" fontId="4" fillId="25" borderId="89" xfId="0" applyNumberFormat="1" applyFont="1" applyFill="1" applyBorder="1"/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left"/>
    </xf>
    <xf numFmtId="188" fontId="3" fillId="13" borderId="9" xfId="1" applyNumberFormat="1" applyFont="1" applyFill="1" applyBorder="1"/>
    <xf numFmtId="0" fontId="3" fillId="8" borderId="4" xfId="0" applyFont="1" applyFill="1" applyBorder="1" applyAlignment="1">
      <alignment horizontal="center" vertical="center"/>
    </xf>
    <xf numFmtId="188" fontId="3" fillId="13" borderId="9" xfId="0" applyNumberFormat="1" applyFont="1" applyFill="1" applyBorder="1"/>
    <xf numFmtId="188" fontId="3" fillId="0" borderId="9" xfId="0" applyNumberFormat="1" applyFont="1" applyBorder="1"/>
    <xf numFmtId="188" fontId="3" fillId="11" borderId="9" xfId="0" applyNumberFormat="1" applyFont="1" applyFill="1" applyBorder="1"/>
    <xf numFmtId="188" fontId="3" fillId="13" borderId="4" xfId="0" applyNumberFormat="1" applyFont="1" applyFill="1" applyBorder="1"/>
    <xf numFmtId="188" fontId="3" fillId="0" borderId="4" xfId="0" applyNumberFormat="1" applyFont="1" applyBorder="1"/>
    <xf numFmtId="188" fontId="3" fillId="12" borderId="4" xfId="0" applyNumberFormat="1" applyFont="1" applyFill="1" applyBorder="1"/>
    <xf numFmtId="188" fontId="3" fillId="11" borderId="4" xfId="0" applyNumberFormat="1" applyFont="1" applyFill="1" applyBorder="1"/>
    <xf numFmtId="0" fontId="7" fillId="13" borderId="9" xfId="0" applyFont="1" applyFill="1" applyBorder="1"/>
    <xf numFmtId="0" fontId="6" fillId="12" borderId="9" xfId="0" applyFont="1" applyFill="1" applyBorder="1"/>
    <xf numFmtId="0" fontId="8" fillId="11" borderId="9" xfId="0" applyFont="1" applyFill="1" applyBorder="1"/>
    <xf numFmtId="0" fontId="6" fillId="11" borderId="9" xfId="0" applyFont="1" applyFill="1" applyBorder="1"/>
    <xf numFmtId="0" fontId="3" fillId="8" borderId="85" xfId="0" applyFont="1" applyFill="1" applyBorder="1" applyAlignment="1">
      <alignment horizontal="center" vertical="center" wrapText="1"/>
    </xf>
    <xf numFmtId="0" fontId="3" fillId="8" borderId="60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/>
    </xf>
    <xf numFmtId="0" fontId="3" fillId="8" borderId="22" xfId="0" applyFont="1" applyFill="1" applyBorder="1" applyAlignment="1">
      <alignment horizontal="center" vertical="center"/>
    </xf>
    <xf numFmtId="0" fontId="3" fillId="8" borderId="76" xfId="0" applyFont="1" applyFill="1" applyBorder="1" applyAlignment="1">
      <alignment horizontal="center"/>
    </xf>
    <xf numFmtId="0" fontId="3" fillId="8" borderId="102" xfId="0" applyFont="1" applyFill="1" applyBorder="1" applyAlignment="1">
      <alignment horizontal="center"/>
    </xf>
    <xf numFmtId="188" fontId="3" fillId="13" borderId="21" xfId="1" applyNumberFormat="1" applyFont="1" applyFill="1" applyBorder="1"/>
    <xf numFmtId="188" fontId="3" fillId="13" borderId="22" xfId="1" applyNumberFormat="1" applyFont="1" applyFill="1" applyBorder="1"/>
    <xf numFmtId="188" fontId="4" fillId="0" borderId="21" xfId="1" applyNumberFormat="1" applyFont="1" applyBorder="1"/>
    <xf numFmtId="188" fontId="4" fillId="0" borderId="22" xfId="1" applyNumberFormat="1" applyFont="1" applyBorder="1"/>
    <xf numFmtId="188" fontId="4" fillId="12" borderId="21" xfId="1" applyNumberFormat="1" applyFont="1" applyFill="1" applyBorder="1"/>
    <xf numFmtId="188" fontId="4" fillId="12" borderId="22" xfId="1" applyNumberFormat="1" applyFont="1" applyFill="1" applyBorder="1"/>
    <xf numFmtId="188" fontId="4" fillId="11" borderId="21" xfId="1" applyNumberFormat="1" applyFont="1" applyFill="1" applyBorder="1"/>
    <xf numFmtId="188" fontId="4" fillId="11" borderId="22" xfId="1" applyNumberFormat="1" applyFont="1" applyFill="1" applyBorder="1"/>
    <xf numFmtId="188" fontId="3" fillId="13" borderId="22" xfId="0" applyNumberFormat="1" applyFont="1" applyFill="1" applyBorder="1"/>
    <xf numFmtId="188" fontId="3" fillId="0" borderId="22" xfId="0" applyNumberFormat="1" applyFont="1" applyBorder="1"/>
    <xf numFmtId="188" fontId="3" fillId="12" borderId="22" xfId="0" applyNumberFormat="1" applyFont="1" applyFill="1" applyBorder="1"/>
    <xf numFmtId="188" fontId="3" fillId="11" borderId="22" xfId="0" applyNumberFormat="1" applyFont="1" applyFill="1" applyBorder="1"/>
    <xf numFmtId="188" fontId="3" fillId="13" borderId="23" xfId="0" applyNumberFormat="1" applyFont="1" applyFill="1" applyBorder="1"/>
    <xf numFmtId="188" fontId="3" fillId="12" borderId="23" xfId="0" applyNumberFormat="1" applyFont="1" applyFill="1" applyBorder="1"/>
    <xf numFmtId="188" fontId="3" fillId="11" borderId="23" xfId="0" applyNumberFormat="1" applyFont="1" applyFill="1" applyBorder="1"/>
    <xf numFmtId="0" fontId="3" fillId="26" borderId="126" xfId="0" applyFont="1" applyFill="1" applyBorder="1" applyAlignment="1">
      <alignment horizontal="center" vertical="center"/>
    </xf>
    <xf numFmtId="0" fontId="3" fillId="5" borderId="89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vertical="top"/>
    </xf>
    <xf numFmtId="0" fontId="3" fillId="5" borderId="22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center" wrapText="1"/>
    </xf>
    <xf numFmtId="0" fontId="3" fillId="5" borderId="76" xfId="0" applyFont="1" applyFill="1" applyBorder="1" applyAlignment="1">
      <alignment horizontal="center"/>
    </xf>
    <xf numFmtId="0" fontId="25" fillId="5" borderId="100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top"/>
    </xf>
    <xf numFmtId="188" fontId="3" fillId="0" borderId="23" xfId="0" applyNumberFormat="1" applyFont="1" applyBorder="1"/>
    <xf numFmtId="188" fontId="3" fillId="13" borderId="23" xfId="1" applyNumberFormat="1" applyFont="1" applyFill="1" applyBorder="1"/>
    <xf numFmtId="188" fontId="4" fillId="0" borderId="21" xfId="1" applyNumberFormat="1" applyFont="1" applyFill="1" applyBorder="1"/>
    <xf numFmtId="188" fontId="4" fillId="0" borderId="22" xfId="1" applyNumberFormat="1" applyFont="1" applyFill="1" applyBorder="1"/>
    <xf numFmtId="188" fontId="4" fillId="0" borderId="9" xfId="1" applyNumberFormat="1" applyFont="1" applyFill="1" applyBorder="1"/>
    <xf numFmtId="0" fontId="8" fillId="0" borderId="9" xfId="0" applyFont="1" applyBorder="1"/>
    <xf numFmtId="188" fontId="3" fillId="0" borderId="4" xfId="0" applyNumberFormat="1" applyFont="1" applyBorder="1" applyAlignment="1">
      <alignment horizontal="center" vertical="center"/>
    </xf>
    <xf numFmtId="188" fontId="8" fillId="0" borderId="23" xfId="0" applyNumberFormat="1" applyFont="1" applyBorder="1"/>
    <xf numFmtId="0" fontId="3" fillId="27" borderId="99" xfId="0" applyFont="1" applyFill="1" applyBorder="1" applyAlignment="1">
      <alignment horizontal="center" vertical="center"/>
    </xf>
    <xf numFmtId="188" fontId="3" fillId="27" borderId="127" xfId="0" applyNumberFormat="1" applyFont="1" applyFill="1" applyBorder="1" applyAlignment="1">
      <alignment vertical="center"/>
    </xf>
    <xf numFmtId="188" fontId="3" fillId="27" borderId="107" xfId="0" applyNumberFormat="1" applyFont="1" applyFill="1" applyBorder="1" applyAlignment="1">
      <alignment vertical="center"/>
    </xf>
    <xf numFmtId="188" fontId="3" fillId="27" borderId="128" xfId="0" applyNumberFormat="1" applyFont="1" applyFill="1" applyBorder="1" applyAlignment="1">
      <alignment vertical="center"/>
    </xf>
    <xf numFmtId="188" fontId="3" fillId="27" borderId="129" xfId="0" applyNumberFormat="1" applyFont="1" applyFill="1" applyBorder="1" applyAlignment="1">
      <alignment vertical="center"/>
    </xf>
    <xf numFmtId="188" fontId="3" fillId="27" borderId="130" xfId="0" applyNumberFormat="1" applyFont="1" applyFill="1" applyBorder="1" applyAlignment="1">
      <alignment vertical="center"/>
    </xf>
    <xf numFmtId="0" fontId="51" fillId="0" borderId="0" xfId="0" applyFont="1"/>
    <xf numFmtId="0" fontId="63" fillId="0" borderId="0" xfId="0" applyFont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188" fontId="51" fillId="0" borderId="0" xfId="1" applyNumberFormat="1" applyFont="1" applyAlignment="1">
      <alignment horizontal="right" vertical="center"/>
    </xf>
    <xf numFmtId="188" fontId="51" fillId="0" borderId="0" xfId="1" applyNumberFormat="1" applyFont="1" applyFill="1" applyAlignment="1">
      <alignment horizontal="center" vertical="center"/>
    </xf>
    <xf numFmtId="0" fontId="56" fillId="0" borderId="0" xfId="0" applyFont="1" applyAlignment="1">
      <alignment horizontal="center" vertical="center"/>
    </xf>
    <xf numFmtId="188" fontId="6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4" fillId="0" borderId="0" xfId="0" applyFont="1"/>
    <xf numFmtId="188" fontId="64" fillId="28" borderId="76" xfId="1" applyNumberFormat="1" applyFont="1" applyFill="1" applyBorder="1" applyAlignment="1">
      <alignment horizontal="center" vertical="center"/>
    </xf>
    <xf numFmtId="188" fontId="64" fillId="28" borderId="1" xfId="1" applyNumberFormat="1" applyFont="1" applyFill="1" applyBorder="1" applyAlignment="1">
      <alignment horizontal="center" vertical="center"/>
    </xf>
    <xf numFmtId="188" fontId="64" fillId="28" borderId="126" xfId="1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22" borderId="89" xfId="0" applyFont="1" applyFill="1" applyBorder="1"/>
    <xf numFmtId="0" fontId="64" fillId="22" borderId="58" xfId="0" applyFont="1" applyFill="1" applyBorder="1"/>
    <xf numFmtId="0" fontId="64" fillId="22" borderId="6" xfId="0" applyFont="1" applyFill="1" applyBorder="1"/>
    <xf numFmtId="188" fontId="64" fillId="22" borderId="2" xfId="1" applyNumberFormat="1" applyFont="1" applyFill="1" applyBorder="1"/>
    <xf numFmtId="188" fontId="64" fillId="22" borderId="89" xfId="1" applyNumberFormat="1" applyFont="1" applyFill="1" applyBorder="1"/>
    <xf numFmtId="188" fontId="64" fillId="22" borderId="86" xfId="1" applyNumberFormat="1" applyFont="1" applyFill="1" applyBorder="1"/>
    <xf numFmtId="188" fontId="64" fillId="22" borderId="20" xfId="1" applyNumberFormat="1" applyFont="1" applyFill="1" applyBorder="1"/>
    <xf numFmtId="0" fontId="64" fillId="8" borderId="9" xfId="0" applyFont="1" applyFill="1" applyBorder="1"/>
    <xf numFmtId="0" fontId="64" fillId="8" borderId="0" xfId="0" applyFont="1" applyFill="1"/>
    <xf numFmtId="0" fontId="64" fillId="8" borderId="11" xfId="0" applyFont="1" applyFill="1" applyBorder="1"/>
    <xf numFmtId="188" fontId="64" fillId="8" borderId="4" xfId="1" applyNumberFormat="1" applyFont="1" applyFill="1" applyBorder="1"/>
    <xf numFmtId="188" fontId="64" fillId="8" borderId="9" xfId="1" applyNumberFormat="1" applyFont="1" applyFill="1" applyBorder="1"/>
    <xf numFmtId="188" fontId="64" fillId="8" borderId="21" xfId="1" applyNumberFormat="1" applyFont="1" applyFill="1" applyBorder="1"/>
    <xf numFmtId="188" fontId="64" fillId="8" borderId="22" xfId="1" applyNumberFormat="1" applyFont="1" applyFill="1" applyBorder="1"/>
    <xf numFmtId="0" fontId="52" fillId="0" borderId="9" xfId="0" applyFont="1" applyBorder="1"/>
    <xf numFmtId="0" fontId="52" fillId="0" borderId="0" xfId="0" applyFont="1"/>
    <xf numFmtId="0" fontId="8" fillId="0" borderId="11" xfId="0" applyFont="1" applyBorder="1"/>
    <xf numFmtId="188" fontId="53" fillId="0" borderId="9" xfId="1" applyNumberFormat="1" applyFont="1" applyBorder="1"/>
    <xf numFmtId="188" fontId="52" fillId="0" borderId="21" xfId="1" applyNumberFormat="1" applyFont="1" applyBorder="1"/>
    <xf numFmtId="188" fontId="52" fillId="0" borderId="4" xfId="1" applyNumberFormat="1" applyFont="1" applyBorder="1"/>
    <xf numFmtId="188" fontId="52" fillId="0" borderId="22" xfId="1" applyNumberFormat="1" applyFont="1" applyBorder="1"/>
    <xf numFmtId="188" fontId="52" fillId="0" borderId="9" xfId="1" applyNumberFormat="1" applyFont="1" applyBorder="1"/>
    <xf numFmtId="188" fontId="8" fillId="0" borderId="9" xfId="1" applyNumberFormat="1" applyFont="1" applyBorder="1"/>
    <xf numFmtId="188" fontId="8" fillId="0" borderId="21" xfId="1" applyNumberFormat="1" applyFont="1" applyBorder="1"/>
    <xf numFmtId="188" fontId="8" fillId="0" borderId="22" xfId="1" applyNumberFormat="1" applyFont="1" applyBorder="1"/>
    <xf numFmtId="188" fontId="8" fillId="0" borderId="4" xfId="1" applyNumberFormat="1" applyFont="1" applyBorder="1" applyAlignment="1">
      <alignment horizontal="left"/>
    </xf>
    <xf numFmtId="188" fontId="8" fillId="0" borderId="9" xfId="1" applyNumberFormat="1" applyFont="1" applyBorder="1" applyAlignment="1">
      <alignment horizontal="left"/>
    </xf>
    <xf numFmtId="0" fontId="53" fillId="0" borderId="9" xfId="0" applyFont="1" applyBorder="1"/>
    <xf numFmtId="0" fontId="8" fillId="6" borderId="11" xfId="0" applyFont="1" applyFill="1" applyBorder="1"/>
    <xf numFmtId="0" fontId="64" fillId="22" borderId="9" xfId="0" applyFont="1" applyFill="1" applyBorder="1"/>
    <xf numFmtId="0" fontId="64" fillId="22" borderId="0" xfId="0" applyFont="1" applyFill="1"/>
    <xf numFmtId="0" fontId="64" fillId="22" borderId="11" xfId="0" applyFont="1" applyFill="1" applyBorder="1"/>
    <xf numFmtId="188" fontId="64" fillId="22" borderId="4" xfId="1" applyNumberFormat="1" applyFont="1" applyFill="1" applyBorder="1"/>
    <xf numFmtId="188" fontId="64" fillId="22" borderId="9" xfId="1" applyNumberFormat="1" applyFont="1" applyFill="1" applyBorder="1"/>
    <xf numFmtId="188" fontId="64" fillId="22" borderId="21" xfId="1" applyNumberFormat="1" applyFont="1" applyFill="1" applyBorder="1"/>
    <xf numFmtId="188" fontId="64" fillId="22" borderId="22" xfId="1" applyNumberFormat="1" applyFont="1" applyFill="1" applyBorder="1"/>
    <xf numFmtId="0" fontId="52" fillId="0" borderId="11" xfId="0" applyFont="1" applyBorder="1"/>
    <xf numFmtId="0" fontId="14" fillId="0" borderId="0" xfId="0" applyFont="1"/>
    <xf numFmtId="0" fontId="53" fillId="0" borderId="11" xfId="0" applyFont="1" applyBorder="1"/>
    <xf numFmtId="188" fontId="8" fillId="0" borderId="0" xfId="0" applyNumberFormat="1" applyFont="1"/>
    <xf numFmtId="188" fontId="64" fillId="13" borderId="131" xfId="1" applyNumberFormat="1" applyFont="1" applyFill="1" applyBorder="1"/>
    <xf numFmtId="188" fontId="64" fillId="13" borderId="132" xfId="1" applyNumberFormat="1" applyFont="1" applyFill="1" applyBorder="1"/>
    <xf numFmtId="188" fontId="64" fillId="13" borderId="133" xfId="1" applyNumberFormat="1" applyFont="1" applyFill="1" applyBorder="1"/>
    <xf numFmtId="188" fontId="51" fillId="0" borderId="0" xfId="1" applyNumberFormat="1" applyFont="1" applyFill="1" applyAlignment="1">
      <alignment vertical="center"/>
    </xf>
    <xf numFmtId="188" fontId="51" fillId="0" borderId="0" xfId="0" applyNumberFormat="1" applyFont="1" applyAlignment="1">
      <alignment vertical="center"/>
    </xf>
    <xf numFmtId="188" fontId="63" fillId="0" borderId="0" xfId="0" applyNumberFormat="1" applyFont="1" applyAlignment="1">
      <alignment vertical="center"/>
    </xf>
    <xf numFmtId="188" fontId="56" fillId="0" borderId="0" xfId="0" applyNumberFormat="1" applyFont="1" applyAlignment="1">
      <alignment horizontal="center" vertical="center"/>
    </xf>
    <xf numFmtId="188" fontId="4" fillId="0" borderId="0" xfId="1" applyNumberFormat="1" applyFont="1" applyAlignment="1">
      <alignment horizontal="right" vertical="center"/>
    </xf>
    <xf numFmtId="188" fontId="4" fillId="0" borderId="0" xfId="1" applyNumberFormat="1" applyFont="1" applyAlignment="1">
      <alignment horizontal="center" vertical="center"/>
    </xf>
    <xf numFmtId="0" fontId="49" fillId="0" borderId="0" xfId="0" applyFont="1"/>
    <xf numFmtId="0" fontId="65" fillId="0" borderId="0" xfId="0" applyFont="1"/>
    <xf numFmtId="0" fontId="65" fillId="0" borderId="0" xfId="0" applyFont="1" applyAlignment="1">
      <alignment horizontal="center" vertical="center"/>
    </xf>
    <xf numFmtId="0" fontId="57" fillId="0" borderId="0" xfId="0" applyFont="1"/>
    <xf numFmtId="188" fontId="53" fillId="0" borderId="4" xfId="1" applyNumberFormat="1" applyFont="1" applyFill="1" applyBorder="1"/>
    <xf numFmtId="188" fontId="8" fillId="0" borderId="9" xfId="1" applyNumberFormat="1" applyFont="1" applyFill="1" applyBorder="1"/>
    <xf numFmtId="188" fontId="8" fillId="0" borderId="21" xfId="1" applyNumberFormat="1" applyFont="1" applyFill="1" applyBorder="1"/>
    <xf numFmtId="188" fontId="8" fillId="0" borderId="22" xfId="1" applyNumberFormat="1" applyFont="1" applyFill="1" applyBorder="1"/>
    <xf numFmtId="0" fontId="5" fillId="0" borderId="0" xfId="0" applyFont="1" applyAlignment="1">
      <alignment horizontal="center" vertical="center"/>
    </xf>
    <xf numFmtId="0" fontId="5" fillId="17" borderId="126" xfId="0" applyFont="1" applyFill="1" applyBorder="1" applyAlignment="1">
      <alignment horizontal="center" vertical="center" wrapText="1"/>
    </xf>
    <xf numFmtId="17" fontId="5" fillId="17" borderId="65" xfId="0" applyNumberFormat="1" applyFont="1" applyFill="1" applyBorder="1" applyAlignment="1">
      <alignment horizontal="center" vertical="center"/>
    </xf>
    <xf numFmtId="17" fontId="5" fillId="17" borderId="17" xfId="0" applyNumberFormat="1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60" fillId="0" borderId="0" xfId="0" applyFont="1"/>
    <xf numFmtId="188" fontId="60" fillId="0" borderId="0" xfId="1" applyNumberFormat="1" applyFont="1" applyFill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88" fontId="6" fillId="0" borderId="0" xfId="1" applyNumberFormat="1" applyFont="1" applyAlignment="1">
      <alignment horizontal="right" vertical="center"/>
    </xf>
    <xf numFmtId="188" fontId="60" fillId="0" borderId="0" xfId="1" applyNumberFormat="1" applyFont="1" applyFill="1" applyAlignment="1">
      <alignment vertical="center"/>
    </xf>
    <xf numFmtId="188" fontId="60" fillId="0" borderId="0" xfId="0" applyNumberFormat="1" applyFont="1" applyAlignment="1">
      <alignment vertical="center"/>
    </xf>
    <xf numFmtId="0" fontId="66" fillId="0" borderId="0" xfId="0" applyFont="1" applyAlignment="1">
      <alignment horizontal="left" vertical="center"/>
    </xf>
    <xf numFmtId="188" fontId="60" fillId="0" borderId="0" xfId="1" applyNumberFormat="1" applyFont="1"/>
    <xf numFmtId="188" fontId="66" fillId="0" borderId="0" xfId="0" applyNumberFormat="1" applyFont="1" applyAlignment="1">
      <alignment horizontal="center" vertical="center"/>
    </xf>
    <xf numFmtId="188" fontId="66" fillId="0" borderId="0" xfId="0" applyNumberFormat="1" applyFont="1" applyAlignment="1">
      <alignment vertical="center"/>
    </xf>
    <xf numFmtId="188" fontId="61" fillId="0" borderId="0" xfId="0" applyNumberFormat="1" applyFont="1" applyAlignment="1">
      <alignment horizontal="center" vertical="center"/>
    </xf>
    <xf numFmtId="188" fontId="5" fillId="22" borderId="86" xfId="1" applyNumberFormat="1" applyFont="1" applyFill="1" applyBorder="1"/>
    <xf numFmtId="188" fontId="5" fillId="22" borderId="2" xfId="1" applyNumberFormat="1" applyFont="1" applyFill="1" applyBorder="1"/>
    <xf numFmtId="188" fontId="5" fillId="22" borderId="60" xfId="1" applyNumberFormat="1" applyFont="1" applyFill="1" applyBorder="1"/>
    <xf numFmtId="188" fontId="5" fillId="8" borderId="21" xfId="1" applyNumberFormat="1" applyFont="1" applyFill="1" applyBorder="1"/>
    <xf numFmtId="188" fontId="5" fillId="8" borderId="4" xfId="1" applyNumberFormat="1" applyFont="1" applyFill="1" applyBorder="1"/>
    <xf numFmtId="188" fontId="5" fillId="8" borderId="60" xfId="1" applyNumberFormat="1" applyFont="1" applyFill="1" applyBorder="1"/>
    <xf numFmtId="188" fontId="8" fillId="0" borderId="60" xfId="1" applyNumberFormat="1" applyFont="1" applyBorder="1"/>
    <xf numFmtId="188" fontId="5" fillId="22" borderId="21" xfId="1" applyNumberFormat="1" applyFont="1" applyFill="1" applyBorder="1"/>
    <xf numFmtId="188" fontId="5" fillId="22" borderId="4" xfId="1" applyNumberFormat="1" applyFont="1" applyFill="1" applyBorder="1"/>
    <xf numFmtId="188" fontId="8" fillId="0" borderId="60" xfId="1" applyNumberFormat="1" applyFont="1" applyFill="1" applyBorder="1"/>
    <xf numFmtId="188" fontId="5" fillId="13" borderId="131" xfId="1" applyNumberFormat="1" applyFont="1" applyFill="1" applyBorder="1"/>
    <xf numFmtId="188" fontId="5" fillId="8" borderId="22" xfId="1" applyNumberFormat="1" applyFont="1" applyFill="1" applyBorder="1"/>
    <xf numFmtId="43" fontId="53" fillId="0" borderId="11" xfId="0" applyNumberFormat="1" applyFont="1" applyBorder="1" applyAlignment="1">
      <alignment horizontal="center"/>
    </xf>
    <xf numFmtId="188" fontId="54" fillId="0" borderId="0" xfId="1" applyNumberFormat="1" applyFont="1" applyFill="1"/>
    <xf numFmtId="188" fontId="53" fillId="0" borderId="0" xfId="1" applyNumberFormat="1" applyFont="1" applyFill="1" applyAlignment="1">
      <alignment horizontal="right"/>
    </xf>
    <xf numFmtId="0" fontId="62" fillId="0" borderId="0" xfId="0" applyFont="1" applyAlignment="1">
      <alignment horizontal="right"/>
    </xf>
    <xf numFmtId="188" fontId="62" fillId="0" borderId="0" xfId="0" applyNumberFormat="1" applyFont="1"/>
    <xf numFmtId="0" fontId="53" fillId="0" borderId="0" xfId="0" applyFont="1"/>
    <xf numFmtId="188" fontId="5" fillId="22" borderId="0" xfId="1" applyNumberFormat="1" applyFont="1" applyFill="1" applyBorder="1"/>
    <xf numFmtId="188" fontId="52" fillId="0" borderId="4" xfId="1" applyNumberFormat="1" applyFont="1" applyFill="1" applyBorder="1"/>
    <xf numFmtId="188" fontId="52" fillId="0" borderId="9" xfId="1" applyNumberFormat="1" applyFont="1" applyFill="1" applyBorder="1"/>
    <xf numFmtId="188" fontId="52" fillId="0" borderId="21" xfId="1" applyNumberFormat="1" applyFont="1" applyFill="1" applyBorder="1"/>
    <xf numFmtId="188" fontId="52" fillId="0" borderId="0" xfId="0" applyNumberFormat="1" applyFont="1"/>
    <xf numFmtId="0" fontId="52" fillId="0" borderId="11" xfId="0" applyFont="1" applyBorder="1" applyAlignment="1">
      <alignment horizontal="left"/>
    </xf>
    <xf numFmtId="188" fontId="52" fillId="0" borderId="4" xfId="1" applyNumberFormat="1" applyFont="1" applyBorder="1" applyAlignment="1">
      <alignment horizontal="left"/>
    </xf>
    <xf numFmtId="188" fontId="52" fillId="0" borderId="9" xfId="1" applyNumberFormat="1" applyFont="1" applyBorder="1" applyAlignment="1">
      <alignment horizontal="left"/>
    </xf>
    <xf numFmtId="0" fontId="52" fillId="6" borderId="11" xfId="0" applyFont="1" applyFill="1" applyBorder="1"/>
    <xf numFmtId="0" fontId="5" fillId="10" borderId="1" xfId="0" applyFont="1" applyFill="1" applyBorder="1" applyAlignment="1">
      <alignment horizontal="center" vertical="center" wrapText="1"/>
    </xf>
    <xf numFmtId="188" fontId="64" fillId="29" borderId="131" xfId="1" applyNumberFormat="1" applyFont="1" applyFill="1" applyBorder="1"/>
    <xf numFmtId="188" fontId="64" fillId="29" borderId="132" xfId="1" applyNumberFormat="1" applyFont="1" applyFill="1" applyBorder="1"/>
    <xf numFmtId="0" fontId="6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88" fontId="63" fillId="0" borderId="24" xfId="0" applyNumberFormat="1" applyFont="1" applyBorder="1" applyAlignment="1">
      <alignment horizontal="center" vertical="center"/>
    </xf>
    <xf numFmtId="188" fontId="3" fillId="0" borderId="24" xfId="0" applyNumberFormat="1" applyFont="1" applyBorder="1" applyAlignment="1">
      <alignment horizontal="center" vertical="center"/>
    </xf>
    <xf numFmtId="188" fontId="3" fillId="0" borderId="72" xfId="0" applyNumberFormat="1" applyFont="1" applyBorder="1" applyAlignment="1">
      <alignment horizontal="center" vertical="center"/>
    </xf>
    <xf numFmtId="0" fontId="3" fillId="0" borderId="103" xfId="0" applyFont="1" applyBorder="1"/>
    <xf numFmtId="0" fontId="4" fillId="0" borderId="103" xfId="0" applyFont="1" applyBorder="1"/>
    <xf numFmtId="0" fontId="3" fillId="0" borderId="103" xfId="0" applyFont="1" applyBorder="1" applyAlignment="1">
      <alignment horizontal="center" vertical="center"/>
    </xf>
    <xf numFmtId="188" fontId="3" fillId="0" borderId="74" xfId="0" applyNumberFormat="1" applyFont="1" applyBorder="1" applyAlignment="1">
      <alignment horizontal="center" vertical="center"/>
    </xf>
    <xf numFmtId="188" fontId="51" fillId="0" borderId="60" xfId="1" applyNumberFormat="1" applyFont="1" applyBorder="1" applyAlignment="1">
      <alignment horizontal="right" vertical="center"/>
    </xf>
    <xf numFmtId="188" fontId="56" fillId="0" borderId="60" xfId="0" applyNumberFormat="1" applyFont="1" applyBorder="1" applyAlignment="1">
      <alignment horizontal="center" vertical="center"/>
    </xf>
    <xf numFmtId="188" fontId="56" fillId="0" borderId="103" xfId="0" applyNumberFormat="1" applyFont="1" applyBorder="1" applyAlignment="1">
      <alignment horizontal="center" vertical="center"/>
    </xf>
    <xf numFmtId="188" fontId="56" fillId="0" borderId="74" xfId="0" applyNumberFormat="1" applyFont="1" applyBorder="1" applyAlignment="1">
      <alignment horizontal="center" vertical="center"/>
    </xf>
    <xf numFmtId="0" fontId="56" fillId="0" borderId="24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5" fillId="10" borderId="126" xfId="0" applyFont="1" applyFill="1" applyBorder="1" applyAlignment="1">
      <alignment horizontal="center" vertical="center"/>
    </xf>
    <xf numFmtId="0" fontId="64" fillId="22" borderId="84" xfId="0" applyFont="1" applyFill="1" applyBorder="1"/>
    <xf numFmtId="0" fontId="64" fillId="8" borderId="24" xfId="0" applyFont="1" applyFill="1" applyBorder="1"/>
    <xf numFmtId="0" fontId="52" fillId="0" borderId="24" xfId="0" applyFont="1" applyBorder="1"/>
    <xf numFmtId="0" fontId="53" fillId="0" borderId="24" xfId="0" applyFont="1" applyBorder="1"/>
    <xf numFmtId="0" fontId="64" fillId="22" borderId="24" xfId="0" applyFont="1" applyFill="1" applyBorder="1"/>
    <xf numFmtId="0" fontId="67" fillId="0" borderId="0" xfId="0" applyFont="1"/>
    <xf numFmtId="188" fontId="4" fillId="0" borderId="2" xfId="1" applyNumberFormat="1" applyFont="1" applyFill="1" applyBorder="1"/>
    <xf numFmtId="188" fontId="5" fillId="8" borderId="11" xfId="1" applyNumberFormat="1" applyFont="1" applyFill="1" applyBorder="1"/>
    <xf numFmtId="0" fontId="5" fillId="10" borderId="7" xfId="0" applyFont="1" applyFill="1" applyBorder="1" applyAlignment="1">
      <alignment vertical="center" wrapText="1"/>
    </xf>
    <xf numFmtId="188" fontId="5" fillId="22" borderId="11" xfId="1" applyNumberFormat="1" applyFont="1" applyFill="1" applyBorder="1"/>
    <xf numFmtId="17" fontId="62" fillId="10" borderId="71" xfId="0" applyNumberFormat="1" applyFont="1" applyFill="1" applyBorder="1" applyAlignment="1">
      <alignment horizontal="center" vertical="center"/>
    </xf>
    <xf numFmtId="188" fontId="62" fillId="22" borderId="89" xfId="1" applyNumberFormat="1" applyFont="1" applyFill="1" applyBorder="1"/>
    <xf numFmtId="188" fontId="62" fillId="8" borderId="24" xfId="1" applyNumberFormat="1" applyFont="1" applyFill="1" applyBorder="1"/>
    <xf numFmtId="188" fontId="53" fillId="0" borderId="24" xfId="1" applyNumberFormat="1" applyFont="1" applyBorder="1"/>
    <xf numFmtId="188" fontId="62" fillId="22" borderId="24" xfId="1" applyNumberFormat="1" applyFont="1" applyFill="1" applyBorder="1"/>
    <xf numFmtId="188" fontId="53" fillId="0" borderId="134" xfId="1" applyNumberFormat="1" applyFont="1" applyBorder="1"/>
    <xf numFmtId="188" fontId="62" fillId="17" borderId="131" xfId="1" applyNumberFormat="1" applyFont="1" applyFill="1" applyBorder="1"/>
    <xf numFmtId="188" fontId="53" fillId="0" borderId="0" xfId="1" applyNumberFormat="1" applyFont="1" applyBorder="1"/>
    <xf numFmtId="188" fontId="53" fillId="0" borderId="21" xfId="1" applyNumberFormat="1" applyFont="1" applyBorder="1"/>
    <xf numFmtId="188" fontId="62" fillId="22" borderId="9" xfId="1" applyNumberFormat="1" applyFont="1" applyFill="1" applyBorder="1"/>
    <xf numFmtId="188" fontId="5" fillId="22" borderId="20" xfId="1" applyNumberFormat="1" applyFont="1" applyFill="1" applyBorder="1"/>
    <xf numFmtId="188" fontId="5" fillId="22" borderId="22" xfId="1" applyNumberFormat="1" applyFont="1" applyFill="1" applyBorder="1"/>
    <xf numFmtId="188" fontId="8" fillId="0" borderId="105" xfId="1" applyNumberFormat="1" applyFont="1" applyBorder="1"/>
    <xf numFmtId="188" fontId="8" fillId="0" borderId="135" xfId="1" applyNumberFormat="1" applyFont="1" applyBorder="1"/>
    <xf numFmtId="188" fontId="5" fillId="17" borderId="131" xfId="1" applyNumberFormat="1" applyFont="1" applyFill="1" applyBorder="1"/>
    <xf numFmtId="17" fontId="62" fillId="10" borderId="10" xfId="0" quotePrefix="1" applyNumberFormat="1" applyFont="1" applyFill="1" applyBorder="1" applyAlignment="1">
      <alignment horizontal="center" vertical="center"/>
    </xf>
    <xf numFmtId="188" fontId="62" fillId="8" borderId="4" xfId="1" applyNumberFormat="1" applyFont="1" applyFill="1" applyBorder="1"/>
    <xf numFmtId="188" fontId="53" fillId="0" borderId="4" xfId="1" applyNumberFormat="1" applyFont="1" applyBorder="1"/>
    <xf numFmtId="188" fontId="53" fillId="0" borderId="101" xfId="1" applyNumberFormat="1" applyFont="1" applyBorder="1"/>
    <xf numFmtId="0" fontId="3" fillId="5" borderId="4" xfId="0" applyFont="1" applyFill="1" applyBorder="1" applyAlignment="1">
      <alignment horizontal="center" vertical="top" wrapText="1"/>
    </xf>
    <xf numFmtId="188" fontId="65" fillId="0" borderId="0" xfId="0" applyNumberFormat="1" applyFont="1"/>
    <xf numFmtId="188" fontId="49" fillId="0" borderId="0" xfId="0" applyNumberFormat="1" applyFont="1"/>
    <xf numFmtId="188" fontId="57" fillId="0" borderId="0" xfId="0" applyNumberFormat="1" applyFont="1"/>
    <xf numFmtId="0" fontId="7" fillId="25" borderId="9" xfId="0" applyFont="1" applyFill="1" applyBorder="1"/>
    <xf numFmtId="188" fontId="3" fillId="25" borderId="22" xfId="0" applyNumberFormat="1" applyFont="1" applyFill="1" applyBorder="1"/>
    <xf numFmtId="188" fontId="3" fillId="25" borderId="21" xfId="1" applyNumberFormat="1" applyFont="1" applyFill="1" applyBorder="1"/>
    <xf numFmtId="188" fontId="3" fillId="25" borderId="2" xfId="0" applyNumberFormat="1" applyFont="1" applyFill="1" applyBorder="1"/>
    <xf numFmtId="188" fontId="3" fillId="25" borderId="20" xfId="0" applyNumberFormat="1" applyFont="1" applyFill="1" applyBorder="1"/>
    <xf numFmtId="188" fontId="3" fillId="25" borderId="16" xfId="0" applyNumberFormat="1" applyFont="1" applyFill="1" applyBorder="1"/>
    <xf numFmtId="188" fontId="56" fillId="25" borderId="86" xfId="1" applyNumberFormat="1" applyFont="1" applyFill="1" applyBorder="1"/>
    <xf numFmtId="188" fontId="4" fillId="6" borderId="21" xfId="1" applyNumberFormat="1" applyFont="1" applyFill="1" applyBorder="1"/>
    <xf numFmtId="0" fontId="35" fillId="5" borderId="102" xfId="0" applyFont="1" applyFill="1" applyBorder="1" applyAlignment="1">
      <alignment horizontal="center" vertical="top"/>
    </xf>
    <xf numFmtId="188" fontId="57" fillId="0" borderId="23" xfId="0" applyNumberFormat="1" applyFont="1" applyBorder="1"/>
    <xf numFmtId="188" fontId="68" fillId="13" borderId="23" xfId="0" applyNumberFormat="1" applyFont="1" applyFill="1" applyBorder="1"/>
    <xf numFmtId="188" fontId="5" fillId="19" borderId="0" xfId="1" applyNumberFormat="1" applyFont="1" applyFill="1" applyBorder="1"/>
    <xf numFmtId="188" fontId="8" fillId="19" borderId="0" xfId="1" applyNumberFormat="1" applyFont="1" applyFill="1" applyBorder="1"/>
    <xf numFmtId="188" fontId="5" fillId="19" borderId="0" xfId="1" applyNumberFormat="1" applyFont="1" applyFill="1" applyBorder="1" applyAlignment="1">
      <alignment vertical="center"/>
    </xf>
    <xf numFmtId="195" fontId="3" fillId="0" borderId="0" xfId="0" applyNumberFormat="1" applyFont="1" applyAlignment="1">
      <alignment horizontal="center"/>
    </xf>
    <xf numFmtId="188" fontId="62" fillId="22" borderId="0" xfId="1" applyNumberFormat="1" applyFont="1" applyFill="1" applyBorder="1"/>
    <xf numFmtId="188" fontId="62" fillId="8" borderId="11" xfId="1" applyNumberFormat="1" applyFont="1" applyFill="1" applyBorder="1"/>
    <xf numFmtId="188" fontId="53" fillId="0" borderId="11" xfId="1" applyNumberFormat="1" applyFont="1" applyBorder="1"/>
    <xf numFmtId="188" fontId="53" fillId="0" borderId="105" xfId="1" applyNumberFormat="1" applyFont="1" applyBorder="1"/>
    <xf numFmtId="15" fontId="4" fillId="0" borderId="0" xfId="0" applyNumberFormat="1" applyFont="1"/>
    <xf numFmtId="188" fontId="62" fillId="22" borderId="21" xfId="1" applyNumberFormat="1" applyFont="1" applyFill="1" applyBorder="1"/>
    <xf numFmtId="188" fontId="62" fillId="8" borderId="0" xfId="1" applyNumberFormat="1" applyFont="1" applyFill="1" applyBorder="1"/>
    <xf numFmtId="15" fontId="8" fillId="0" borderId="0" xfId="0" applyNumberFormat="1" applyFont="1"/>
    <xf numFmtId="188" fontId="53" fillId="0" borderId="0" xfId="0" applyNumberFormat="1" applyFont="1"/>
    <xf numFmtId="188" fontId="64" fillId="0" borderId="0" xfId="0" applyNumberFormat="1" applyFont="1"/>
    <xf numFmtId="188" fontId="53" fillId="6" borderId="4" xfId="1" applyNumberFormat="1" applyFont="1" applyFill="1" applyBorder="1"/>
    <xf numFmtId="0" fontId="5" fillId="10" borderId="102" xfId="0" applyFont="1" applyFill="1" applyBorder="1" applyAlignment="1">
      <alignment horizontal="center" vertical="center"/>
    </xf>
    <xf numFmtId="188" fontId="64" fillId="7" borderId="1" xfId="1" applyNumberFormat="1" applyFont="1" applyFill="1" applyBorder="1" applyAlignment="1">
      <alignment horizontal="center" vertical="center" wrapText="1"/>
    </xf>
    <xf numFmtId="188" fontId="64" fillId="7" borderId="2" xfId="1" applyNumberFormat="1" applyFont="1" applyFill="1" applyBorder="1"/>
    <xf numFmtId="188" fontId="64" fillId="7" borderId="4" xfId="1" applyNumberFormat="1" applyFont="1" applyFill="1" applyBorder="1"/>
    <xf numFmtId="188" fontId="52" fillId="7" borderId="4" xfId="1" applyNumberFormat="1" applyFont="1" applyFill="1" applyBorder="1"/>
    <xf numFmtId="188" fontId="64" fillId="28" borderId="126" xfId="1" applyNumberFormat="1" applyFont="1" applyFill="1" applyBorder="1" applyAlignment="1">
      <alignment horizontal="center" vertical="center" wrapText="1"/>
    </xf>
    <xf numFmtId="17" fontId="62" fillId="10" borderId="1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 wrapText="1"/>
    </xf>
    <xf numFmtId="188" fontId="67" fillId="0" borderId="0" xfId="1" applyNumberFormat="1" applyFont="1"/>
    <xf numFmtId="188" fontId="3" fillId="0" borderId="2" xfId="1" applyNumberFormat="1" applyFont="1" applyFill="1" applyBorder="1" applyAlignment="1">
      <alignment horizontal="center" vertical="center"/>
    </xf>
    <xf numFmtId="0" fontId="4" fillId="0" borderId="0" xfId="10" applyFont="1"/>
    <xf numFmtId="0" fontId="4" fillId="0" borderId="0" xfId="10" applyFont="1" applyAlignment="1">
      <alignment vertical="center"/>
    </xf>
    <xf numFmtId="17" fontId="3" fillId="0" borderId="1" xfId="10" applyNumberFormat="1" applyFont="1" applyBorder="1" applyAlignment="1">
      <alignment horizontal="center" vertical="center"/>
    </xf>
    <xf numFmtId="0" fontId="3" fillId="0" borderId="1" xfId="10" applyFont="1" applyBorder="1" applyAlignment="1">
      <alignment horizontal="center" vertical="center"/>
    </xf>
    <xf numFmtId="0" fontId="3" fillId="0" borderId="100" xfId="10" applyFont="1" applyBorder="1" applyAlignment="1">
      <alignment horizontal="center" vertical="center"/>
    </xf>
    <xf numFmtId="0" fontId="3" fillId="0" borderId="76" xfId="10" applyFont="1" applyBorder="1" applyAlignment="1">
      <alignment horizontal="center" vertical="center"/>
    </xf>
    <xf numFmtId="17" fontId="42" fillId="0" borderId="1" xfId="10" applyNumberFormat="1" applyFont="1" applyBorder="1" applyAlignment="1">
      <alignment horizontal="center" vertical="center"/>
    </xf>
    <xf numFmtId="17" fontId="42" fillId="0" borderId="136" xfId="10" applyNumberFormat="1" applyFont="1" applyBorder="1" applyAlignment="1">
      <alignment horizontal="center" vertical="center"/>
    </xf>
    <xf numFmtId="0" fontId="42" fillId="0" borderId="76" xfId="10" applyFont="1" applyBorder="1" applyAlignment="1">
      <alignment horizontal="center" vertical="center"/>
    </xf>
    <xf numFmtId="0" fontId="42" fillId="0" borderId="1" xfId="10" applyFont="1" applyBorder="1" applyAlignment="1">
      <alignment horizontal="center" vertical="center"/>
    </xf>
    <xf numFmtId="17" fontId="42" fillId="0" borderId="102" xfId="10" applyNumberFormat="1" applyFont="1" applyBorder="1" applyAlignment="1">
      <alignment horizontal="center" vertical="center"/>
    </xf>
    <xf numFmtId="17" fontId="42" fillId="0" borderId="137" xfId="10" applyNumberFormat="1" applyFont="1" applyBorder="1" applyAlignment="1">
      <alignment horizontal="center" vertical="center"/>
    </xf>
    <xf numFmtId="0" fontId="42" fillId="0" borderId="7" xfId="10" applyFont="1" applyBorder="1" applyAlignment="1">
      <alignment horizontal="center" vertical="center"/>
    </xf>
    <xf numFmtId="0" fontId="42" fillId="0" borderId="138" xfId="10" applyFont="1" applyBorder="1" applyAlignment="1">
      <alignment horizontal="center" vertical="center"/>
    </xf>
    <xf numFmtId="0" fontId="42" fillId="0" borderId="139" xfId="10" applyFont="1" applyBorder="1" applyAlignment="1">
      <alignment horizontal="center" vertical="center"/>
    </xf>
    <xf numFmtId="17" fontId="42" fillId="0" borderId="139" xfId="10" applyNumberFormat="1" applyFont="1" applyBorder="1" applyAlignment="1">
      <alignment horizontal="center" vertical="center"/>
    </xf>
    <xf numFmtId="188" fontId="5" fillId="13" borderId="10" xfId="10" applyNumberFormat="1" applyFont="1" applyFill="1" applyBorder="1" applyAlignment="1">
      <alignment horizontal="center" vertical="center"/>
    </xf>
    <xf numFmtId="188" fontId="5" fillId="13" borderId="99" xfId="10" applyNumberFormat="1" applyFont="1" applyFill="1" applyBorder="1" applyAlignment="1">
      <alignment horizontal="center" vertical="center"/>
    </xf>
    <xf numFmtId="188" fontId="42" fillId="13" borderId="10" xfId="10" applyNumberFormat="1" applyFont="1" applyFill="1" applyBorder="1" applyAlignment="1">
      <alignment horizontal="center" vertical="center"/>
    </xf>
    <xf numFmtId="188" fontId="42" fillId="13" borderId="126" xfId="10" applyNumberFormat="1" applyFont="1" applyFill="1" applyBorder="1" applyAlignment="1">
      <alignment horizontal="center" vertical="center"/>
    </xf>
    <xf numFmtId="188" fontId="42" fillId="13" borderId="65" xfId="10" applyNumberFormat="1" applyFont="1" applyFill="1" applyBorder="1" applyAlignment="1">
      <alignment horizontal="center" vertical="center"/>
    </xf>
    <xf numFmtId="188" fontId="42" fillId="13" borderId="99" xfId="10" applyNumberFormat="1" applyFont="1" applyFill="1" applyBorder="1" applyAlignment="1">
      <alignment horizontal="center" vertical="center"/>
    </xf>
    <xf numFmtId="188" fontId="42" fillId="13" borderId="18" xfId="10" applyNumberFormat="1" applyFont="1" applyFill="1" applyBorder="1" applyAlignment="1">
      <alignment horizontal="center" vertical="center"/>
    </xf>
    <xf numFmtId="188" fontId="42" fillId="13" borderId="79" xfId="10" applyNumberFormat="1" applyFont="1" applyFill="1" applyBorder="1" applyAlignment="1">
      <alignment horizontal="center" vertical="center"/>
    </xf>
    <xf numFmtId="188" fontId="8" fillId="0" borderId="0" xfId="10" applyNumberFormat="1" applyFont="1"/>
    <xf numFmtId="0" fontId="8" fillId="0" borderId="0" xfId="10" applyFont="1"/>
    <xf numFmtId="188" fontId="5" fillId="7" borderId="4" xfId="10" applyNumberFormat="1" applyFont="1" applyFill="1" applyBorder="1" applyAlignment="1">
      <alignment horizontal="center" vertical="center"/>
    </xf>
    <xf numFmtId="188" fontId="5" fillId="7" borderId="9" xfId="10" applyNumberFormat="1" applyFont="1" applyFill="1" applyBorder="1" applyAlignment="1">
      <alignment horizontal="center" vertical="center"/>
    </xf>
    <xf numFmtId="188" fontId="5" fillId="7" borderId="21" xfId="10" applyNumberFormat="1" applyFont="1" applyFill="1" applyBorder="1" applyAlignment="1">
      <alignment horizontal="center" vertical="center"/>
    </xf>
    <xf numFmtId="188" fontId="42" fillId="7" borderId="4" xfId="10" applyNumberFormat="1" applyFont="1" applyFill="1" applyBorder="1" applyAlignment="1">
      <alignment horizontal="center" vertical="center"/>
    </xf>
    <xf numFmtId="188" fontId="42" fillId="7" borderId="22" xfId="10" applyNumberFormat="1" applyFont="1" applyFill="1" applyBorder="1" applyAlignment="1">
      <alignment horizontal="center" vertical="center"/>
    </xf>
    <xf numFmtId="188" fontId="42" fillId="7" borderId="21" xfId="10" applyNumberFormat="1" applyFont="1" applyFill="1" applyBorder="1" applyAlignment="1">
      <alignment horizontal="center" vertical="center"/>
    </xf>
    <xf numFmtId="188" fontId="42" fillId="7" borderId="11" xfId="10" applyNumberFormat="1" applyFont="1" applyFill="1" applyBorder="1" applyAlignment="1">
      <alignment horizontal="center" vertical="center"/>
    </xf>
    <xf numFmtId="188" fontId="42" fillId="7" borderId="9" xfId="10" applyNumberFormat="1" applyFont="1" applyFill="1" applyBorder="1" applyAlignment="1">
      <alignment horizontal="center" vertical="center"/>
    </xf>
    <xf numFmtId="188" fontId="37" fillId="28" borderId="4" xfId="6" applyNumberFormat="1" applyFont="1" applyFill="1" applyBorder="1"/>
    <xf numFmtId="188" fontId="37" fillId="28" borderId="9" xfId="6" applyNumberFormat="1" applyFont="1" applyFill="1" applyBorder="1"/>
    <xf numFmtId="188" fontId="37" fillId="28" borderId="21" xfId="6" applyNumberFormat="1" applyFont="1" applyFill="1" applyBorder="1"/>
    <xf numFmtId="188" fontId="39" fillId="28" borderId="4" xfId="6" applyNumberFormat="1" applyFont="1" applyFill="1" applyBorder="1"/>
    <xf numFmtId="188" fontId="39" fillId="28" borderId="22" xfId="6" applyNumberFormat="1" applyFont="1" applyFill="1" applyBorder="1"/>
    <xf numFmtId="188" fontId="39" fillId="28" borderId="21" xfId="6" applyNumberFormat="1" applyFont="1" applyFill="1" applyBorder="1"/>
    <xf numFmtId="188" fontId="39" fillId="28" borderId="11" xfId="6" applyNumberFormat="1" applyFont="1" applyFill="1" applyBorder="1"/>
    <xf numFmtId="188" fontId="39" fillId="28" borderId="9" xfId="6" applyNumberFormat="1" applyFont="1" applyFill="1" applyBorder="1"/>
    <xf numFmtId="188" fontId="36" fillId="0" borderId="4" xfId="6" applyNumberFormat="1" applyFont="1" applyBorder="1"/>
    <xf numFmtId="188" fontId="36" fillId="0" borderId="9" xfId="6" applyNumberFormat="1" applyFont="1" applyBorder="1"/>
    <xf numFmtId="188" fontId="36" fillId="0" borderId="21" xfId="6" applyNumberFormat="1" applyFont="1" applyBorder="1"/>
    <xf numFmtId="188" fontId="38" fillId="0" borderId="4" xfId="6" applyNumberFormat="1" applyFont="1" applyBorder="1"/>
    <xf numFmtId="188" fontId="38" fillId="0" borderId="22" xfId="6" applyNumberFormat="1" applyFont="1" applyBorder="1"/>
    <xf numFmtId="188" fontId="38" fillId="0" borderId="21" xfId="6" applyNumberFormat="1" applyFont="1" applyBorder="1"/>
    <xf numFmtId="188" fontId="39" fillId="0" borderId="22" xfId="6" applyNumberFormat="1" applyFont="1" applyBorder="1"/>
    <xf numFmtId="188" fontId="38" fillId="0" borderId="11" xfId="6" applyNumberFormat="1" applyFont="1" applyBorder="1"/>
    <xf numFmtId="188" fontId="38" fillId="0" borderId="9" xfId="6" applyNumberFormat="1" applyFont="1" applyBorder="1"/>
    <xf numFmtId="188" fontId="38" fillId="0" borderId="21" xfId="5" applyNumberFormat="1" applyFont="1" applyFill="1" applyBorder="1"/>
    <xf numFmtId="188" fontId="38" fillId="0" borderId="4" xfId="5" applyNumberFormat="1" applyFont="1" applyFill="1" applyBorder="1"/>
    <xf numFmtId="188" fontId="38" fillId="0" borderId="4" xfId="5" applyNumberFormat="1" applyFont="1" applyBorder="1"/>
    <xf numFmtId="188" fontId="36" fillId="0" borderId="4" xfId="6" applyNumberFormat="1" applyFont="1" applyFill="1" applyBorder="1"/>
    <xf numFmtId="188" fontId="36" fillId="0" borderId="9" xfId="6" applyNumberFormat="1" applyFont="1" applyFill="1" applyBorder="1"/>
    <xf numFmtId="188" fontId="36" fillId="0" borderId="21" xfId="6" applyNumberFormat="1" applyFont="1" applyFill="1" applyBorder="1"/>
    <xf numFmtId="188" fontId="38" fillId="0" borderId="4" xfId="6" applyNumberFormat="1" applyFont="1" applyFill="1" applyBorder="1"/>
    <xf numFmtId="188" fontId="38" fillId="0" borderId="22" xfId="6" applyNumberFormat="1" applyFont="1" applyFill="1" applyBorder="1"/>
    <xf numFmtId="188" fontId="38" fillId="0" borderId="21" xfId="6" applyNumberFormat="1" applyFont="1" applyFill="1" applyBorder="1"/>
    <xf numFmtId="188" fontId="39" fillId="0" borderId="22" xfId="6" applyNumberFormat="1" applyFont="1" applyFill="1" applyBorder="1"/>
    <xf numFmtId="188" fontId="38" fillId="0" borderId="11" xfId="6" applyNumberFormat="1" applyFont="1" applyFill="1" applyBorder="1"/>
    <xf numFmtId="188" fontId="38" fillId="0" borderId="9" xfId="6" applyNumberFormat="1" applyFont="1" applyFill="1" applyBorder="1"/>
    <xf numFmtId="188" fontId="38" fillId="0" borderId="4" xfId="5" applyNumberFormat="1" applyFont="1" applyFill="1" applyBorder="1" applyAlignment="1">
      <alignment vertical="top"/>
    </xf>
    <xf numFmtId="188" fontId="36" fillId="0" borderId="4" xfId="6" applyNumberFormat="1" applyFont="1" applyFill="1" applyBorder="1" applyAlignment="1">
      <alignment horizontal="center"/>
    </xf>
    <xf numFmtId="188" fontId="38" fillId="0" borderId="4" xfId="6" applyNumberFormat="1" applyFont="1" applyFill="1" applyBorder="1" applyAlignment="1">
      <alignment horizontal="center"/>
    </xf>
    <xf numFmtId="188" fontId="14" fillId="0" borderId="4" xfId="2" applyNumberFormat="1" applyFont="1" applyBorder="1"/>
    <xf numFmtId="188" fontId="38" fillId="0" borderId="4" xfId="5" applyNumberFormat="1" applyFont="1" applyFill="1" applyBorder="1" applyAlignment="1">
      <alignment horizontal="center"/>
    </xf>
    <xf numFmtId="188" fontId="8" fillId="0" borderId="4" xfId="6" applyNumberFormat="1" applyFont="1" applyFill="1" applyBorder="1"/>
    <xf numFmtId="188" fontId="8" fillId="0" borderId="9" xfId="6" applyNumberFormat="1" applyFont="1" applyFill="1" applyBorder="1"/>
    <xf numFmtId="188" fontId="8" fillId="0" borderId="21" xfId="6" applyNumberFormat="1" applyFont="1" applyFill="1" applyBorder="1"/>
    <xf numFmtId="188" fontId="14" fillId="0" borderId="4" xfId="6" applyNumberFormat="1" applyFont="1" applyFill="1" applyBorder="1"/>
    <xf numFmtId="188" fontId="14" fillId="0" borderId="22" xfId="6" applyNumberFormat="1" applyFont="1" applyFill="1" applyBorder="1"/>
    <xf numFmtId="188" fontId="14" fillId="0" borderId="21" xfId="6" applyNumberFormat="1" applyFont="1" applyFill="1" applyBorder="1"/>
    <xf numFmtId="188" fontId="42" fillId="0" borderId="22" xfId="6" applyNumberFormat="1" applyFont="1" applyFill="1" applyBorder="1"/>
    <xf numFmtId="188" fontId="14" fillId="0" borderId="11" xfId="6" applyNumberFormat="1" applyFont="1" applyFill="1" applyBorder="1"/>
    <xf numFmtId="188" fontId="14" fillId="0" borderId="9" xfId="6" applyNumberFormat="1" applyFont="1" applyFill="1" applyBorder="1"/>
    <xf numFmtId="188" fontId="67" fillId="0" borderId="4" xfId="2" applyNumberFormat="1" applyFont="1" applyBorder="1" applyAlignment="1">
      <alignment horizontal="center"/>
    </xf>
    <xf numFmtId="188" fontId="5" fillId="28" borderId="4" xfId="6" applyNumberFormat="1" applyFont="1" applyFill="1" applyBorder="1"/>
    <xf numFmtId="188" fontId="5" fillId="28" borderId="9" xfId="6" applyNumberFormat="1" applyFont="1" applyFill="1" applyBorder="1"/>
    <xf numFmtId="188" fontId="5" fillId="28" borderId="21" xfId="6" applyNumberFormat="1" applyFont="1" applyFill="1" applyBorder="1"/>
    <xf numFmtId="188" fontId="42" fillId="28" borderId="4" xfId="6" applyNumberFormat="1" applyFont="1" applyFill="1" applyBorder="1"/>
    <xf numFmtId="188" fontId="42" fillId="28" borderId="22" xfId="6" applyNumberFormat="1" applyFont="1" applyFill="1" applyBorder="1"/>
    <xf numFmtId="188" fontId="42" fillId="28" borderId="21" xfId="6" applyNumberFormat="1" applyFont="1" applyFill="1" applyBorder="1"/>
    <xf numFmtId="188" fontId="42" fillId="28" borderId="11" xfId="6" applyNumberFormat="1" applyFont="1" applyFill="1" applyBorder="1"/>
    <xf numFmtId="188" fontId="42" fillId="28" borderId="9" xfId="6" applyNumberFormat="1" applyFont="1" applyFill="1" applyBorder="1"/>
    <xf numFmtId="188" fontId="67" fillId="0" borderId="4" xfId="2" applyNumberFormat="1" applyFont="1" applyBorder="1"/>
    <xf numFmtId="188" fontId="14" fillId="0" borderId="4" xfId="5" applyNumberFormat="1" applyFont="1" applyFill="1" applyBorder="1"/>
    <xf numFmtId="0" fontId="36" fillId="0" borderId="4" xfId="11" applyFont="1" applyBorder="1"/>
    <xf numFmtId="188" fontId="36" fillId="0" borderId="4" xfId="8" applyNumberFormat="1" applyFont="1" applyBorder="1"/>
    <xf numFmtId="188" fontId="36" fillId="0" borderId="9" xfId="8" applyNumberFormat="1" applyFont="1" applyBorder="1"/>
    <xf numFmtId="188" fontId="36" fillId="0" borderId="21" xfId="8" applyNumberFormat="1" applyFont="1" applyBorder="1"/>
    <xf numFmtId="188" fontId="14" fillId="0" borderId="4" xfId="8" applyNumberFormat="1" applyFont="1" applyBorder="1"/>
    <xf numFmtId="188" fontId="14" fillId="0" borderId="22" xfId="8" applyNumberFormat="1" applyFont="1" applyBorder="1"/>
    <xf numFmtId="188" fontId="38" fillId="0" borderId="21" xfId="8" applyNumberFormat="1" applyFont="1" applyBorder="1"/>
    <xf numFmtId="188" fontId="42" fillId="0" borderId="22" xfId="8" applyNumberFormat="1" applyFont="1" applyBorder="1"/>
    <xf numFmtId="188" fontId="38" fillId="0" borderId="11" xfId="8" applyNumberFormat="1" applyFont="1" applyBorder="1"/>
    <xf numFmtId="188" fontId="14" fillId="0" borderId="9" xfId="8" applyNumberFormat="1" applyFont="1" applyBorder="1"/>
    <xf numFmtId="188" fontId="38" fillId="0" borderId="4" xfId="2" applyNumberFormat="1" applyFont="1" applyBorder="1"/>
    <xf numFmtId="188" fontId="5" fillId="7" borderId="4" xfId="6" applyNumberFormat="1" applyFont="1" applyFill="1" applyBorder="1"/>
    <xf numFmtId="188" fontId="5" fillId="7" borderId="9" xfId="6" applyNumberFormat="1" applyFont="1" applyFill="1" applyBorder="1"/>
    <xf numFmtId="188" fontId="5" fillId="7" borderId="21" xfId="6" applyNumberFormat="1" applyFont="1" applyFill="1" applyBorder="1"/>
    <xf numFmtId="188" fontId="42" fillId="7" borderId="4" xfId="6" applyNumberFormat="1" applyFont="1" applyFill="1" applyBorder="1"/>
    <xf numFmtId="188" fontId="42" fillId="7" borderId="22" xfId="6" applyNumberFormat="1" applyFont="1" applyFill="1" applyBorder="1"/>
    <xf numFmtId="188" fontId="42" fillId="7" borderId="21" xfId="6" applyNumberFormat="1" applyFont="1" applyFill="1" applyBorder="1"/>
    <xf numFmtId="188" fontId="42" fillId="7" borderId="11" xfId="6" applyNumberFormat="1" applyFont="1" applyFill="1" applyBorder="1"/>
    <xf numFmtId="188" fontId="42" fillId="7" borderId="9" xfId="6" applyNumberFormat="1" applyFont="1" applyFill="1" applyBorder="1"/>
    <xf numFmtId="0" fontId="14" fillId="0" borderId="0" xfId="10" applyFont="1"/>
    <xf numFmtId="0" fontId="42" fillId="0" borderId="0" xfId="10" applyFont="1"/>
    <xf numFmtId="188" fontId="14" fillId="0" borderId="0" xfId="10" applyNumberFormat="1" applyFont="1"/>
    <xf numFmtId="0" fontId="3" fillId="0" borderId="0" xfId="10" applyFont="1"/>
    <xf numFmtId="188" fontId="36" fillId="0" borderId="9" xfId="6" applyNumberFormat="1" applyFont="1" applyFill="1" applyBorder="1" applyAlignment="1">
      <alignment horizontal="center"/>
    </xf>
    <xf numFmtId="188" fontId="8" fillId="0" borderId="9" xfId="8" applyNumberFormat="1" applyFont="1" applyBorder="1"/>
    <xf numFmtId="17" fontId="42" fillId="0" borderId="138" xfId="10" applyNumberFormat="1" applyFont="1" applyBorder="1" applyAlignment="1">
      <alignment horizontal="center" vertical="center"/>
    </xf>
    <xf numFmtId="188" fontId="14" fillId="0" borderId="21" xfId="8" applyNumberFormat="1" applyFont="1" applyBorder="1"/>
    <xf numFmtId="0" fontId="3" fillId="0" borderId="23" xfId="10" applyFont="1" applyBorder="1" applyAlignment="1">
      <alignment horizontal="center" vertical="center"/>
    </xf>
    <xf numFmtId="0" fontId="5" fillId="13" borderId="78" xfId="10" applyFont="1" applyFill="1" applyBorder="1" applyAlignment="1">
      <alignment horizontal="center" vertical="center"/>
    </xf>
    <xf numFmtId="0" fontId="37" fillId="7" borderId="23" xfId="10" applyFont="1" applyFill="1" applyBorder="1"/>
    <xf numFmtId="0" fontId="37" fillId="28" borderId="23" xfId="10" applyFont="1" applyFill="1" applyBorder="1"/>
    <xf numFmtId="0" fontId="36" fillId="0" borderId="23" xfId="10" applyFont="1" applyBorder="1"/>
    <xf numFmtId="0" fontId="8" fillId="0" borderId="23" xfId="10" applyFont="1" applyBorder="1"/>
    <xf numFmtId="0" fontId="5" fillId="28" borderId="23" xfId="10" applyFont="1" applyFill="1" applyBorder="1"/>
    <xf numFmtId="0" fontId="5" fillId="7" borderId="23" xfId="10" applyFont="1" applyFill="1" applyBorder="1"/>
    <xf numFmtId="0" fontId="3" fillId="0" borderId="21" xfId="10" applyFont="1" applyBorder="1" applyAlignment="1">
      <alignment horizontal="center" vertical="center"/>
    </xf>
    <xf numFmtId="0" fontId="5" fillId="13" borderId="65" xfId="10" applyFont="1" applyFill="1" applyBorder="1" applyAlignment="1">
      <alignment horizontal="center" vertical="center"/>
    </xf>
    <xf numFmtId="0" fontId="37" fillId="7" borderId="21" xfId="10" applyFont="1" applyFill="1" applyBorder="1"/>
    <xf numFmtId="0" fontId="37" fillId="28" borderId="21" xfId="10" applyFont="1" applyFill="1" applyBorder="1"/>
    <xf numFmtId="0" fontId="36" fillId="0" borderId="21" xfId="10" applyFont="1" applyBorder="1"/>
    <xf numFmtId="0" fontId="8" fillId="0" borderId="21" xfId="10" applyFont="1" applyBorder="1"/>
    <xf numFmtId="0" fontId="5" fillId="28" borderId="21" xfId="10" applyFont="1" applyFill="1" applyBorder="1"/>
    <xf numFmtId="0" fontId="5" fillId="7" borderId="21" xfId="10" applyFont="1" applyFill="1" applyBorder="1"/>
    <xf numFmtId="0" fontId="8" fillId="0" borderId="77" xfId="10" applyFont="1" applyBorder="1"/>
    <xf numFmtId="0" fontId="36" fillId="0" borderId="75" xfId="11" applyFont="1" applyBorder="1"/>
    <xf numFmtId="188" fontId="36" fillId="0" borderId="75" xfId="8" applyNumberFormat="1" applyFont="1" applyFill="1" applyBorder="1"/>
    <xf numFmtId="188" fontId="36" fillId="0" borderId="140" xfId="8" applyNumberFormat="1" applyFont="1" applyFill="1" applyBorder="1"/>
    <xf numFmtId="188" fontId="36" fillId="0" borderId="77" xfId="8" applyNumberFormat="1" applyFont="1" applyFill="1" applyBorder="1"/>
    <xf numFmtId="188" fontId="8" fillId="0" borderId="140" xfId="8" applyNumberFormat="1" applyFont="1" applyFill="1" applyBorder="1"/>
    <xf numFmtId="188" fontId="14" fillId="0" borderId="77" xfId="8" applyNumberFormat="1" applyFont="1" applyFill="1" applyBorder="1"/>
    <xf numFmtId="188" fontId="14" fillId="0" borderId="141" xfId="8" applyNumberFormat="1" applyFont="1" applyFill="1" applyBorder="1"/>
    <xf numFmtId="188" fontId="38" fillId="0" borderId="77" xfId="8" applyNumberFormat="1" applyFont="1" applyFill="1" applyBorder="1"/>
    <xf numFmtId="188" fontId="14" fillId="0" borderId="75" xfId="8" applyNumberFormat="1" applyFont="1" applyFill="1" applyBorder="1"/>
    <xf numFmtId="188" fontId="42" fillId="0" borderId="141" xfId="8" applyNumberFormat="1" applyFont="1" applyFill="1" applyBorder="1"/>
    <xf numFmtId="188" fontId="38" fillId="0" borderId="116" xfId="8" applyNumberFormat="1" applyFont="1" applyFill="1" applyBorder="1"/>
    <xf numFmtId="188" fontId="14" fillId="0" borderId="140" xfId="8" applyNumberFormat="1" applyFont="1" applyFill="1" applyBorder="1"/>
    <xf numFmtId="0" fontId="3" fillId="0" borderId="70" xfId="11" applyFont="1" applyBorder="1" applyAlignment="1">
      <alignment horizontal="center" vertical="center"/>
    </xf>
    <xf numFmtId="188" fontId="40" fillId="0" borderId="70" xfId="8" applyNumberFormat="1" applyFont="1" applyBorder="1" applyAlignment="1">
      <alignment horizontal="center" vertical="center"/>
    </xf>
    <xf numFmtId="188" fontId="41" fillId="0" borderId="70" xfId="8" applyNumberFormat="1" applyFont="1" applyBorder="1" applyAlignment="1">
      <alignment horizontal="center" vertical="center"/>
    </xf>
    <xf numFmtId="0" fontId="3" fillId="0" borderId="70" xfId="11" applyFont="1" applyBorder="1" applyAlignment="1">
      <alignment vertical="center"/>
    </xf>
    <xf numFmtId="188" fontId="5" fillId="13" borderId="64" xfId="10" applyNumberFormat="1" applyFont="1" applyFill="1" applyBorder="1" applyAlignment="1">
      <alignment horizontal="center" vertical="center"/>
    </xf>
    <xf numFmtId="188" fontId="5" fillId="7" borderId="16" xfId="10" applyNumberFormat="1" applyFont="1" applyFill="1" applyBorder="1" applyAlignment="1">
      <alignment horizontal="center" vertical="center"/>
    </xf>
    <xf numFmtId="188" fontId="5" fillId="28" borderId="23" xfId="10" applyNumberFormat="1" applyFont="1" applyFill="1" applyBorder="1" applyAlignment="1">
      <alignment horizontal="center" vertical="center"/>
    </xf>
    <xf numFmtId="188" fontId="5" fillId="0" borderId="23" xfId="10" applyNumberFormat="1" applyFont="1" applyBorder="1" applyAlignment="1">
      <alignment horizontal="center" vertical="center"/>
    </xf>
    <xf numFmtId="188" fontId="5" fillId="28" borderId="60" xfId="6" applyNumberFormat="1" applyFont="1" applyFill="1" applyBorder="1"/>
    <xf numFmtId="188" fontId="5" fillId="7" borderId="23" xfId="10" applyNumberFormat="1" applyFont="1" applyFill="1" applyBorder="1" applyAlignment="1">
      <alignment horizontal="center" vertical="center"/>
    </xf>
    <xf numFmtId="0" fontId="8" fillId="0" borderId="70" xfId="10" applyFont="1" applyBorder="1"/>
    <xf numFmtId="188" fontId="5" fillId="0" borderId="70" xfId="10" applyNumberFormat="1" applyFont="1" applyBorder="1" applyAlignment="1">
      <alignment horizontal="center" vertical="center"/>
    </xf>
    <xf numFmtId="188" fontId="3" fillId="6" borderId="25" xfId="1" applyNumberFormat="1" applyFont="1" applyFill="1" applyBorder="1" applyAlignment="1">
      <alignment horizontal="center"/>
    </xf>
    <xf numFmtId="198" fontId="4" fillId="0" borderId="4" xfId="1" applyNumberFormat="1" applyFont="1" applyFill="1" applyBorder="1"/>
    <xf numFmtId="188" fontId="3" fillId="0" borderId="4" xfId="1" applyNumberFormat="1" applyFont="1" applyFill="1" applyBorder="1" applyAlignment="1">
      <alignment horizontal="center" vertical="center"/>
    </xf>
    <xf numFmtId="188" fontId="4" fillId="0" borderId="4" xfId="5" applyNumberFormat="1" applyFont="1" applyFill="1" applyBorder="1"/>
    <xf numFmtId="188" fontId="69" fillId="0" borderId="9" xfId="6" applyNumberFormat="1" applyFont="1" applyBorder="1"/>
    <xf numFmtId="188" fontId="69" fillId="0" borderId="9" xfId="6" applyNumberFormat="1" applyFont="1" applyFill="1" applyBorder="1"/>
    <xf numFmtId="188" fontId="69" fillId="0" borderId="9" xfId="8" applyNumberFormat="1" applyFont="1" applyBorder="1"/>
    <xf numFmtId="188" fontId="53" fillId="0" borderId="22" xfId="1" applyNumberFormat="1" applyFont="1" applyBorder="1"/>
    <xf numFmtId="15" fontId="4" fillId="0" borderId="0" xfId="0" quotePrefix="1" applyNumberFormat="1" applyFont="1"/>
    <xf numFmtId="188" fontId="69" fillId="0" borderId="4" xfId="6" applyNumberFormat="1" applyFont="1" applyFill="1" applyBorder="1"/>
    <xf numFmtId="188" fontId="69" fillId="0" borderId="4" xfId="8" applyNumberFormat="1" applyFont="1" applyBorder="1"/>
    <xf numFmtId="188" fontId="69" fillId="0" borderId="75" xfId="8" applyNumberFormat="1" applyFont="1" applyFill="1" applyBorder="1"/>
    <xf numFmtId="188" fontId="52" fillId="6" borderId="4" xfId="1" applyNumberFormat="1" applyFont="1" applyFill="1" applyBorder="1"/>
    <xf numFmtId="188" fontId="38" fillId="6" borderId="4" xfId="6" applyNumberFormat="1" applyFont="1" applyFill="1" applyBorder="1"/>
    <xf numFmtId="188" fontId="14" fillId="6" borderId="4" xfId="2" applyNumberFormat="1" applyFont="1" applyFill="1" applyBorder="1"/>
    <xf numFmtId="188" fontId="5" fillId="8" borderId="24" xfId="1" applyNumberFormat="1" applyFont="1" applyFill="1" applyBorder="1"/>
    <xf numFmtId="188" fontId="5" fillId="8" borderId="0" xfId="1" applyNumberFormat="1" applyFont="1" applyFill="1" applyBorder="1"/>
    <xf numFmtId="188" fontId="8" fillId="0" borderId="24" xfId="1" applyNumberFormat="1" applyFont="1" applyBorder="1"/>
    <xf numFmtId="188" fontId="5" fillId="22" borderId="24" xfId="1" applyNumberFormat="1" applyFont="1" applyFill="1" applyBorder="1"/>
    <xf numFmtId="188" fontId="5" fillId="22" borderId="9" xfId="1" applyNumberFormat="1" applyFont="1" applyFill="1" applyBorder="1"/>
    <xf numFmtId="188" fontId="57" fillId="0" borderId="0" xfId="1" applyNumberFormat="1" applyFont="1"/>
    <xf numFmtId="188" fontId="62" fillId="0" borderId="0" xfId="1" applyNumberFormat="1" applyFont="1"/>
    <xf numFmtId="188" fontId="64" fillId="28" borderId="116" xfId="1" applyNumberFormat="1" applyFont="1" applyFill="1" applyBorder="1" applyAlignment="1">
      <alignment horizontal="center" vertical="center"/>
    </xf>
    <xf numFmtId="188" fontId="64" fillId="28" borderId="75" xfId="1" applyNumberFormat="1" applyFont="1" applyFill="1" applyBorder="1" applyAlignment="1">
      <alignment horizontal="center" vertical="center"/>
    </xf>
    <xf numFmtId="188" fontId="64" fillId="7" borderId="75" xfId="1" applyNumberFormat="1" applyFont="1" applyFill="1" applyBorder="1" applyAlignment="1">
      <alignment horizontal="center" vertical="center" wrapText="1"/>
    </xf>
    <xf numFmtId="188" fontId="64" fillId="28" borderId="128" xfId="1" applyNumberFormat="1" applyFont="1" applyFill="1" applyBorder="1" applyAlignment="1">
      <alignment horizontal="center" vertical="center" wrapText="1"/>
    </xf>
    <xf numFmtId="17" fontId="5" fillId="10" borderId="72" xfId="0" applyNumberFormat="1" applyFont="1" applyFill="1" applyBorder="1" applyAlignment="1">
      <alignment horizontal="center" vertical="center"/>
    </xf>
    <xf numFmtId="17" fontId="5" fillId="10" borderId="75" xfId="0" quotePrefix="1" applyNumberFormat="1" applyFont="1" applyFill="1" applyBorder="1" applyAlignment="1">
      <alignment horizontal="center" vertical="center"/>
    </xf>
    <xf numFmtId="0" fontId="5" fillId="10" borderId="116" xfId="0" applyFont="1" applyFill="1" applyBorder="1" applyAlignment="1">
      <alignment vertical="center" wrapText="1"/>
    </xf>
    <xf numFmtId="0" fontId="5" fillId="10" borderId="75" xfId="0" applyFont="1" applyFill="1" applyBorder="1" applyAlignment="1">
      <alignment horizontal="center" vertical="center" wrapText="1"/>
    </xf>
    <xf numFmtId="0" fontId="5" fillId="10" borderId="141" xfId="0" applyFont="1" applyFill="1" applyBorder="1" applyAlignment="1">
      <alignment horizontal="center" vertical="center"/>
    </xf>
    <xf numFmtId="188" fontId="50" fillId="8" borderId="4" xfId="1" applyNumberFormat="1" applyFont="1" applyFill="1" applyBorder="1"/>
    <xf numFmtId="0" fontId="8" fillId="0" borderId="24" xfId="0" applyFont="1" applyBorder="1"/>
    <xf numFmtId="0" fontId="3" fillId="0" borderId="70" xfId="12" applyFont="1" applyBorder="1" applyAlignment="1">
      <alignment horizontal="center" vertical="center"/>
    </xf>
    <xf numFmtId="0" fontId="3" fillId="0" borderId="70" xfId="12" applyFont="1" applyBorder="1" applyAlignment="1">
      <alignment horizontal="center" vertical="center" wrapText="1"/>
    </xf>
    <xf numFmtId="0" fontId="3" fillId="0" borderId="123" xfId="12" applyFont="1" applyBorder="1" applyAlignment="1">
      <alignment horizontal="center" vertical="center"/>
    </xf>
    <xf numFmtId="17" fontId="42" fillId="0" borderId="142" xfId="10" applyNumberFormat="1" applyFont="1" applyBorder="1" applyAlignment="1">
      <alignment horizontal="center" vertical="center"/>
    </xf>
    <xf numFmtId="0" fontId="42" fillId="0" borderId="143" xfId="10" applyFont="1" applyBorder="1" applyAlignment="1">
      <alignment horizontal="center" vertical="center"/>
    </xf>
    <xf numFmtId="188" fontId="42" fillId="13" borderId="78" xfId="10" applyNumberFormat="1" applyFont="1" applyFill="1" applyBorder="1" applyAlignment="1">
      <alignment horizontal="center" vertical="center"/>
    </xf>
    <xf numFmtId="188" fontId="42" fillId="7" borderId="24" xfId="10" applyNumberFormat="1" applyFont="1" applyFill="1" applyBorder="1" applyAlignment="1">
      <alignment horizontal="center" vertical="center"/>
    </xf>
    <xf numFmtId="188" fontId="42" fillId="7" borderId="23" xfId="10" applyNumberFormat="1" applyFont="1" applyFill="1" applyBorder="1" applyAlignment="1">
      <alignment horizontal="center" vertical="center"/>
    </xf>
    <xf numFmtId="188" fontId="42" fillId="28" borderId="24" xfId="6" applyNumberFormat="1" applyFont="1" applyFill="1" applyBorder="1"/>
    <xf numFmtId="188" fontId="42" fillId="28" borderId="23" xfId="6" applyNumberFormat="1" applyFont="1" applyFill="1" applyBorder="1"/>
    <xf numFmtId="188" fontId="14" fillId="0" borderId="24" xfId="6" applyNumberFormat="1" applyFont="1" applyBorder="1"/>
    <xf numFmtId="188" fontId="14" fillId="0" borderId="23" xfId="6" applyNumberFormat="1" applyFont="1" applyBorder="1"/>
    <xf numFmtId="188" fontId="14" fillId="0" borderId="11" xfId="6" applyNumberFormat="1" applyFont="1" applyBorder="1"/>
    <xf numFmtId="188" fontId="14" fillId="0" borderId="4" xfId="6" applyNumberFormat="1" applyFont="1" applyBorder="1"/>
    <xf numFmtId="188" fontId="14" fillId="0" borderId="22" xfId="6" applyNumberFormat="1" applyFont="1" applyBorder="1"/>
    <xf numFmtId="188" fontId="14" fillId="0" borderId="4" xfId="2" applyNumberFormat="1" applyFont="1" applyFill="1" applyBorder="1"/>
    <xf numFmtId="188" fontId="14" fillId="0" borderId="9" xfId="6" applyNumberFormat="1" applyFont="1" applyBorder="1"/>
    <xf numFmtId="188" fontId="14" fillId="0" borderId="21" xfId="5" applyNumberFormat="1" applyFont="1" applyFill="1" applyBorder="1"/>
    <xf numFmtId="188" fontId="42" fillId="0" borderId="22" xfId="6" applyNumberFormat="1" applyFont="1" applyBorder="1"/>
    <xf numFmtId="188" fontId="14" fillId="0" borderId="4" xfId="5" applyNumberFormat="1" applyFont="1" applyBorder="1"/>
    <xf numFmtId="188" fontId="14" fillId="0" borderId="21" xfId="6" applyNumberFormat="1" applyFont="1" applyBorder="1"/>
    <xf numFmtId="188" fontId="14" fillId="0" borderId="24" xfId="6" applyNumberFormat="1" applyFont="1" applyFill="1" applyBorder="1"/>
    <xf numFmtId="188" fontId="14" fillId="0" borderId="23" xfId="6" applyNumberFormat="1" applyFont="1" applyFill="1" applyBorder="1"/>
    <xf numFmtId="188" fontId="14" fillId="0" borderId="4" xfId="5" applyNumberFormat="1" applyFont="1" applyFill="1" applyBorder="1" applyAlignment="1">
      <alignment vertical="top"/>
    </xf>
    <xf numFmtId="188" fontId="14" fillId="0" borderId="23" xfId="6" applyNumberFormat="1" applyFont="1" applyFill="1" applyBorder="1" applyAlignment="1">
      <alignment horizontal="center"/>
    </xf>
    <xf numFmtId="188" fontId="14" fillId="0" borderId="11" xfId="6" applyNumberFormat="1" applyFont="1" applyFill="1" applyBorder="1" applyAlignment="1">
      <alignment horizontal="center"/>
    </xf>
    <xf numFmtId="188" fontId="14" fillId="0" borderId="21" xfId="6" applyNumberFormat="1" applyFont="1" applyFill="1" applyBorder="1" applyAlignment="1">
      <alignment horizontal="center"/>
    </xf>
    <xf numFmtId="188" fontId="14" fillId="0" borderId="4" xfId="6" applyNumberFormat="1" applyFont="1" applyFill="1" applyBorder="1" applyAlignment="1">
      <alignment horizontal="center"/>
    </xf>
    <xf numFmtId="188" fontId="14" fillId="0" borderId="4" xfId="5" applyNumberFormat="1" applyFont="1" applyFill="1" applyBorder="1" applyAlignment="1">
      <alignment horizontal="center"/>
    </xf>
    <xf numFmtId="188" fontId="14" fillId="0" borderId="4" xfId="2" applyNumberFormat="1" applyFont="1" applyBorder="1" applyAlignment="1">
      <alignment horizontal="center"/>
    </xf>
    <xf numFmtId="188" fontId="14" fillId="0" borderId="24" xfId="8" applyNumberFormat="1" applyFont="1" applyBorder="1"/>
    <xf numFmtId="188" fontId="14" fillId="0" borderId="23" xfId="8" applyNumberFormat="1" applyFont="1" applyBorder="1"/>
    <xf numFmtId="188" fontId="14" fillId="0" borderId="11" xfId="8" applyNumberFormat="1" applyFont="1" applyBorder="1"/>
    <xf numFmtId="188" fontId="42" fillId="7" borderId="24" xfId="6" applyNumberFormat="1" applyFont="1" applyFill="1" applyBorder="1"/>
    <xf numFmtId="188" fontId="42" fillId="7" borderId="23" xfId="6" applyNumberFormat="1" applyFont="1" applyFill="1" applyBorder="1"/>
    <xf numFmtId="188" fontId="14" fillId="0" borderId="24" xfId="8" applyNumberFormat="1" applyFont="1" applyFill="1" applyBorder="1"/>
    <xf numFmtId="188" fontId="14" fillId="0" borderId="23" xfId="8" applyNumberFormat="1" applyFont="1" applyFill="1" applyBorder="1"/>
    <xf numFmtId="188" fontId="14" fillId="0" borderId="11" xfId="8" applyNumberFormat="1" applyFont="1" applyFill="1" applyBorder="1"/>
    <xf numFmtId="188" fontId="14" fillId="0" borderId="4" xfId="8" applyNumberFormat="1" applyFont="1" applyFill="1" applyBorder="1"/>
    <xf numFmtId="188" fontId="14" fillId="0" borderId="22" xfId="8" applyNumberFormat="1" applyFont="1" applyFill="1" applyBorder="1"/>
    <xf numFmtId="188" fontId="14" fillId="0" borderId="9" xfId="8" applyNumberFormat="1" applyFont="1" applyFill="1" applyBorder="1"/>
    <xf numFmtId="188" fontId="14" fillId="0" borderId="21" xfId="8" applyNumberFormat="1" applyFont="1" applyFill="1" applyBorder="1"/>
    <xf numFmtId="188" fontId="42" fillId="0" borderId="22" xfId="8" applyNumberFormat="1" applyFont="1" applyFill="1" applyBorder="1"/>
    <xf numFmtId="0" fontId="5" fillId="6" borderId="10" xfId="10" applyFont="1" applyFill="1" applyBorder="1" applyAlignment="1">
      <alignment horizontal="center" vertical="center"/>
    </xf>
    <xf numFmtId="0" fontId="5" fillId="6" borderId="78" xfId="10" applyFont="1" applyFill="1" applyBorder="1" applyAlignment="1">
      <alignment horizontal="center" vertical="center"/>
    </xf>
    <xf numFmtId="0" fontId="5" fillId="6" borderId="18" xfId="10" applyFont="1" applyFill="1" applyBorder="1" applyAlignment="1">
      <alignment horizontal="center" vertical="center"/>
    </xf>
    <xf numFmtId="0" fontId="5" fillId="6" borderId="126" xfId="10" applyFont="1" applyFill="1" applyBorder="1" applyAlignment="1">
      <alignment horizontal="center" vertical="center"/>
    </xf>
    <xf numFmtId="0" fontId="5" fillId="6" borderId="99" xfId="10" applyFont="1" applyFill="1" applyBorder="1" applyAlignment="1">
      <alignment horizontal="center" vertical="center"/>
    </xf>
    <xf numFmtId="0" fontId="5" fillId="6" borderId="65" xfId="10" applyFont="1" applyFill="1" applyBorder="1" applyAlignment="1">
      <alignment horizontal="center" vertical="center"/>
    </xf>
    <xf numFmtId="0" fontId="42" fillId="6" borderId="10" xfId="10" applyFont="1" applyFill="1" applyBorder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4" fillId="0" borderId="0" xfId="10" applyFont="1" applyAlignment="1">
      <alignment horizontal="center" vertical="center"/>
    </xf>
    <xf numFmtId="0" fontId="8" fillId="0" borderId="16" xfId="10" applyFont="1" applyBorder="1"/>
    <xf numFmtId="188" fontId="14" fillId="0" borderId="16" xfId="8" applyNumberFormat="1" applyFont="1" applyFill="1" applyBorder="1"/>
    <xf numFmtId="188" fontId="14" fillId="0" borderId="85" xfId="8" applyNumberFormat="1" applyFont="1" applyFill="1" applyBorder="1"/>
    <xf numFmtId="188" fontId="14" fillId="0" borderId="6" xfId="8" applyNumberFormat="1" applyFont="1" applyFill="1" applyBorder="1"/>
    <xf numFmtId="188" fontId="14" fillId="0" borderId="2" xfId="8" applyNumberFormat="1" applyFont="1" applyFill="1" applyBorder="1"/>
    <xf numFmtId="188" fontId="14" fillId="0" borderId="20" xfId="8" applyNumberFormat="1" applyFont="1" applyFill="1" applyBorder="1"/>
    <xf numFmtId="188" fontId="14" fillId="0" borderId="86" xfId="8" applyNumberFormat="1" applyFont="1" applyFill="1" applyBorder="1"/>
    <xf numFmtId="188" fontId="42" fillId="0" borderId="20" xfId="8" applyNumberFormat="1" applyFont="1" applyFill="1" applyBorder="1"/>
    <xf numFmtId="188" fontId="42" fillId="0" borderId="0" xfId="8" applyNumberFormat="1" applyFont="1" applyFill="1" applyBorder="1"/>
    <xf numFmtId="188" fontId="14" fillId="0" borderId="89" xfId="8" applyNumberFormat="1" applyFont="1" applyFill="1" applyBorder="1"/>
    <xf numFmtId="188" fontId="14" fillId="0" borderId="60" xfId="8" applyNumberFormat="1" applyFont="1" applyFill="1" applyBorder="1"/>
    <xf numFmtId="0" fontId="5" fillId="24" borderId="132" xfId="10" applyFont="1" applyFill="1" applyBorder="1" applyAlignment="1">
      <alignment horizontal="center"/>
    </xf>
    <xf numFmtId="188" fontId="42" fillId="24" borderId="131" xfId="8" applyNumberFormat="1" applyFont="1" applyFill="1" applyBorder="1"/>
    <xf numFmtId="0" fontId="5" fillId="24" borderId="131" xfId="10" applyFont="1" applyFill="1" applyBorder="1" applyAlignment="1">
      <alignment horizontal="center"/>
    </xf>
    <xf numFmtId="188" fontId="42" fillId="24" borderId="131" xfId="6" applyNumberFormat="1" applyFont="1" applyFill="1" applyBorder="1"/>
    <xf numFmtId="0" fontId="5" fillId="0" borderId="0" xfId="10" applyFont="1"/>
    <xf numFmtId="0" fontId="5" fillId="10" borderId="144" xfId="0" applyFont="1" applyFill="1" applyBorder="1" applyAlignment="1">
      <alignment horizontal="center" vertical="center" wrapText="1"/>
    </xf>
    <xf numFmtId="188" fontId="5" fillId="22" borderId="145" xfId="1" applyNumberFormat="1" applyFont="1" applyFill="1" applyBorder="1"/>
    <xf numFmtId="188" fontId="5" fillId="8" borderId="145" xfId="1" applyNumberFormat="1" applyFont="1" applyFill="1" applyBorder="1"/>
    <xf numFmtId="188" fontId="8" fillId="0" borderId="145" xfId="1" applyNumberFormat="1" applyFont="1" applyBorder="1"/>
    <xf numFmtId="188" fontId="5" fillId="17" borderId="146" xfId="1" applyNumberFormat="1" applyFont="1" applyFill="1" applyBorder="1"/>
    <xf numFmtId="188" fontId="5" fillId="28" borderId="75" xfId="1" applyNumberFormat="1" applyFont="1" applyFill="1" applyBorder="1" applyAlignment="1">
      <alignment horizontal="center" vertical="center"/>
    </xf>
    <xf numFmtId="0" fontId="5" fillId="6" borderId="17" xfId="10" applyFont="1" applyFill="1" applyBorder="1" applyAlignment="1">
      <alignment horizontal="center" vertical="center"/>
    </xf>
    <xf numFmtId="0" fontId="5" fillId="6" borderId="64" xfId="10" applyFont="1" applyFill="1" applyBorder="1" applyAlignment="1">
      <alignment horizontal="center" vertical="center"/>
    </xf>
    <xf numFmtId="188" fontId="42" fillId="24" borderId="131" xfId="8" applyNumberFormat="1" applyFont="1" applyFill="1" applyBorder="1" applyAlignment="1">
      <alignment horizontal="center"/>
    </xf>
    <xf numFmtId="15" fontId="6" fillId="0" borderId="0" xfId="0" quotePrefix="1" applyNumberFormat="1" applyFont="1"/>
    <xf numFmtId="188" fontId="5" fillId="0" borderId="60" xfId="1" applyNumberFormat="1" applyFont="1" applyFill="1" applyBorder="1"/>
    <xf numFmtId="188" fontId="62" fillId="22" borderId="4" xfId="1" applyNumberFormat="1" applyFont="1" applyFill="1" applyBorder="1"/>
    <xf numFmtId="15" fontId="7" fillId="0" borderId="0" xfId="0" applyNumberFormat="1" applyFont="1"/>
    <xf numFmtId="0" fontId="3" fillId="0" borderId="0" xfId="0" applyFont="1" applyAlignment="1">
      <alignment horizontal="left" vertical="center"/>
    </xf>
    <xf numFmtId="0" fontId="5" fillId="22" borderId="11" xfId="0" applyFont="1" applyFill="1" applyBorder="1"/>
    <xf numFmtId="0" fontId="5" fillId="8" borderId="11" xfId="0" applyFont="1" applyFill="1" applyBorder="1"/>
    <xf numFmtId="0" fontId="5" fillId="22" borderId="0" xfId="0" applyFont="1" applyFill="1"/>
    <xf numFmtId="0" fontId="5" fillId="8" borderId="0" xfId="0" applyFont="1" applyFill="1"/>
    <xf numFmtId="0" fontId="5" fillId="10" borderId="71" xfId="0" applyFont="1" applyFill="1" applyBorder="1" applyAlignment="1">
      <alignment vertical="center"/>
    </xf>
    <xf numFmtId="0" fontId="5" fillId="10" borderId="15" xfId="0" applyFont="1" applyFill="1" applyBorder="1" applyAlignment="1">
      <alignment vertical="center"/>
    </xf>
    <xf numFmtId="188" fontId="5" fillId="30" borderId="147" xfId="0" applyNumberFormat="1" applyFont="1" applyFill="1" applyBorder="1" applyAlignment="1">
      <alignment vertical="center" wrapText="1"/>
    </xf>
    <xf numFmtId="188" fontId="53" fillId="0" borderId="60" xfId="0" applyNumberFormat="1" applyFont="1" applyBorder="1"/>
    <xf numFmtId="188" fontId="57" fillId="0" borderId="60" xfId="0" applyNumberFormat="1" applyFont="1" applyBorder="1"/>
    <xf numFmtId="188" fontId="8" fillId="0" borderId="60" xfId="0" applyNumberFormat="1" applyFont="1" applyBorder="1"/>
    <xf numFmtId="0" fontId="57" fillId="0" borderId="60" xfId="0" applyFont="1" applyBorder="1"/>
    <xf numFmtId="0" fontId="5" fillId="10" borderId="148" xfId="0" applyFont="1" applyFill="1" applyBorder="1" applyAlignment="1">
      <alignment vertical="center"/>
    </xf>
    <xf numFmtId="0" fontId="5" fillId="6" borderId="79" xfId="10" applyFont="1" applyFill="1" applyBorder="1" applyAlignment="1">
      <alignment vertical="center"/>
    </xf>
    <xf numFmtId="0" fontId="5" fillId="6" borderId="64" xfId="10" applyFont="1" applyFill="1" applyBorder="1" applyAlignment="1">
      <alignment vertical="center"/>
    </xf>
    <xf numFmtId="0" fontId="5" fillId="6" borderId="10" xfId="10" applyFont="1" applyFill="1" applyBorder="1" applyAlignment="1">
      <alignment vertical="center"/>
    </xf>
    <xf numFmtId="188" fontId="5" fillId="6" borderId="126" xfId="10" applyNumberFormat="1" applyFont="1" applyFill="1" applyBorder="1" applyAlignment="1">
      <alignment horizontal="center" vertical="center"/>
    </xf>
    <xf numFmtId="188" fontId="42" fillId="0" borderId="9" xfId="8" applyNumberFormat="1" applyFont="1" applyFill="1" applyBorder="1"/>
    <xf numFmtId="0" fontId="8" fillId="0" borderId="60" xfId="10" applyFont="1" applyBorder="1"/>
    <xf numFmtId="0" fontId="5" fillId="28" borderId="60" xfId="10" applyFont="1" applyFill="1" applyBorder="1"/>
    <xf numFmtId="0" fontId="5" fillId="7" borderId="60" xfId="10" applyFont="1" applyFill="1" applyBorder="1"/>
    <xf numFmtId="0" fontId="8" fillId="0" borderId="85" xfId="10" applyFont="1" applyBorder="1"/>
    <xf numFmtId="0" fontId="5" fillId="24" borderId="146" xfId="10" applyFont="1" applyFill="1" applyBorder="1" applyAlignment="1">
      <alignment horizontal="center"/>
    </xf>
    <xf numFmtId="0" fontId="3" fillId="0" borderId="74" xfId="12" applyFont="1" applyBorder="1" applyAlignment="1">
      <alignment horizontal="center" vertical="center"/>
    </xf>
    <xf numFmtId="0" fontId="3" fillId="0" borderId="60" xfId="10" applyFont="1" applyBorder="1" applyAlignment="1">
      <alignment horizontal="center" vertical="center"/>
    </xf>
    <xf numFmtId="0" fontId="5" fillId="13" borderId="64" xfId="10" applyFont="1" applyFill="1" applyBorder="1" applyAlignment="1">
      <alignment horizontal="center" vertical="center"/>
    </xf>
    <xf numFmtId="43" fontId="5" fillId="31" borderId="131" xfId="1" applyFont="1" applyFill="1" applyBorder="1" applyAlignment="1">
      <alignment vertical="center" wrapText="1"/>
    </xf>
    <xf numFmtId="188" fontId="64" fillId="28" borderId="75" xfId="1" applyNumberFormat="1" applyFont="1" applyFill="1" applyBorder="1" applyAlignment="1">
      <alignment horizontal="center" vertical="center" wrapText="1"/>
    </xf>
    <xf numFmtId="188" fontId="70" fillId="28" borderId="75" xfId="1" applyNumberFormat="1" applyFont="1" applyFill="1" applyBorder="1" applyAlignment="1">
      <alignment horizontal="center" vertical="center" wrapText="1"/>
    </xf>
    <xf numFmtId="15" fontId="5" fillId="0" borderId="0" xfId="0" applyNumberFormat="1" applyFont="1" applyAlignment="1">
      <alignment horizontal="center" vertical="center" wrapText="1"/>
    </xf>
    <xf numFmtId="188" fontId="64" fillId="28" borderId="75" xfId="1" applyNumberFormat="1" applyFont="1" applyFill="1" applyBorder="1" applyAlignment="1">
      <alignment vertical="center" wrapText="1"/>
    </xf>
    <xf numFmtId="38" fontId="5" fillId="22" borderId="9" xfId="1" applyNumberFormat="1" applyFont="1" applyFill="1" applyBorder="1"/>
    <xf numFmtId="38" fontId="5" fillId="8" borderId="9" xfId="1" applyNumberFormat="1" applyFont="1" applyFill="1" applyBorder="1"/>
    <xf numFmtId="38" fontId="8" fillId="0" borderId="9" xfId="1" applyNumberFormat="1" applyFont="1" applyBorder="1"/>
    <xf numFmtId="38" fontId="8" fillId="0" borderId="9" xfId="1" applyNumberFormat="1" applyFont="1" applyFill="1" applyBorder="1"/>
    <xf numFmtId="38" fontId="5" fillId="0" borderId="132" xfId="1" applyNumberFormat="1" applyFont="1" applyFill="1" applyBorder="1"/>
    <xf numFmtId="38" fontId="8" fillId="0" borderId="0" xfId="1" applyNumberFormat="1" applyFont="1"/>
    <xf numFmtId="38" fontId="4" fillId="0" borderId="0" xfId="1" applyNumberFormat="1" applyFont="1"/>
    <xf numFmtId="188" fontId="53" fillId="7" borderId="4" xfId="1" applyNumberFormat="1" applyFont="1" applyFill="1" applyBorder="1"/>
    <xf numFmtId="188" fontId="62" fillId="0" borderId="60" xfId="1" applyNumberFormat="1" applyFont="1" applyFill="1" applyBorder="1"/>
    <xf numFmtId="188" fontId="53" fillId="0" borderId="145" xfId="1" applyNumberFormat="1" applyFont="1" applyBorder="1"/>
    <xf numFmtId="188" fontId="53" fillId="0" borderId="60" xfId="1" applyNumberFormat="1" applyFont="1" applyBorder="1"/>
    <xf numFmtId="40" fontId="4" fillId="0" borderId="0" xfId="1" applyNumberFormat="1" applyFont="1" applyFill="1"/>
    <xf numFmtId="40" fontId="3" fillId="0" borderId="4" xfId="1" applyNumberFormat="1" applyFont="1" applyFill="1" applyBorder="1" applyAlignment="1">
      <alignment horizontal="center"/>
    </xf>
    <xf numFmtId="40" fontId="3" fillId="0" borderId="1" xfId="1" applyNumberFormat="1" applyFont="1" applyFill="1" applyBorder="1" applyAlignment="1">
      <alignment horizontal="center"/>
    </xf>
    <xf numFmtId="40" fontId="3" fillId="0" borderId="25" xfId="1" applyNumberFormat="1" applyFont="1" applyFill="1" applyBorder="1" applyAlignment="1">
      <alignment horizontal="center"/>
    </xf>
    <xf numFmtId="40" fontId="3" fillId="0" borderId="88" xfId="1" applyNumberFormat="1" applyFont="1" applyFill="1" applyBorder="1"/>
    <xf numFmtId="40" fontId="4" fillId="0" borderId="4" xfId="1" applyNumberFormat="1" applyFont="1" applyFill="1" applyBorder="1"/>
    <xf numFmtId="40" fontId="3" fillId="0" borderId="1" xfId="1" applyNumberFormat="1" applyFont="1" applyFill="1" applyBorder="1"/>
    <xf numFmtId="40" fontId="4" fillId="0" borderId="1" xfId="1" applyNumberFormat="1" applyFont="1" applyFill="1" applyBorder="1"/>
    <xf numFmtId="40" fontId="3" fillId="0" borderId="10" xfId="1" applyNumberFormat="1" applyFont="1" applyFill="1" applyBorder="1" applyAlignment="1">
      <alignment horizontal="center" vertical="center"/>
    </xf>
    <xf numFmtId="40" fontId="4" fillId="0" borderId="2" xfId="1" applyNumberFormat="1" applyFont="1" applyFill="1" applyBorder="1"/>
    <xf numFmtId="40" fontId="4" fillId="0" borderId="10" xfId="1" applyNumberFormat="1" applyFont="1" applyFill="1" applyBorder="1" applyAlignment="1">
      <alignment horizontal="right" vertical="center"/>
    </xf>
    <xf numFmtId="40" fontId="4" fillId="0" borderId="0" xfId="1" applyNumberFormat="1" applyFont="1" applyFill="1" applyBorder="1" applyAlignment="1">
      <alignment horizontal="center"/>
    </xf>
    <xf numFmtId="40" fontId="4" fillId="0" borderId="0" xfId="1" applyNumberFormat="1" applyFont="1" applyFill="1" applyBorder="1" applyAlignment="1"/>
    <xf numFmtId="40" fontId="4" fillId="0" borderId="0" xfId="1" applyNumberFormat="1" applyFont="1" applyFill="1" applyBorder="1"/>
    <xf numFmtId="39" fontId="4" fillId="0" borderId="0" xfId="1" applyNumberFormat="1" applyFont="1" applyFill="1"/>
    <xf numFmtId="39" fontId="3" fillId="0" borderId="4" xfId="1" applyNumberFormat="1" applyFont="1" applyFill="1" applyBorder="1" applyAlignment="1">
      <alignment horizontal="center"/>
    </xf>
    <xf numFmtId="39" fontId="3" fillId="0" borderId="1" xfId="1" applyNumberFormat="1" applyFont="1" applyFill="1" applyBorder="1" applyAlignment="1">
      <alignment horizontal="center"/>
    </xf>
    <xf numFmtId="39" fontId="3" fillId="0" borderId="25" xfId="1" applyNumberFormat="1" applyFont="1" applyFill="1" applyBorder="1" applyAlignment="1">
      <alignment horizontal="center"/>
    </xf>
    <xf numFmtId="39" fontId="3" fillId="0" borderId="88" xfId="1" applyNumberFormat="1" applyFont="1" applyFill="1" applyBorder="1"/>
    <xf numFmtId="39" fontId="4" fillId="0" borderId="4" xfId="1" applyNumberFormat="1" applyFont="1" applyFill="1" applyBorder="1"/>
    <xf numFmtId="39" fontId="3" fillId="0" borderId="1" xfId="1" applyNumberFormat="1" applyFont="1" applyFill="1" applyBorder="1"/>
    <xf numFmtId="39" fontId="4" fillId="0" borderId="1" xfId="1" applyNumberFormat="1" applyFont="1" applyFill="1" applyBorder="1"/>
    <xf numFmtId="39" fontId="3" fillId="0" borderId="10" xfId="1" applyNumberFormat="1" applyFont="1" applyFill="1" applyBorder="1" applyAlignment="1">
      <alignment horizontal="center" vertical="center"/>
    </xf>
    <xf numFmtId="39" fontId="4" fillId="0" borderId="2" xfId="1" applyNumberFormat="1" applyFont="1" applyFill="1" applyBorder="1"/>
    <xf numFmtId="39" fontId="4" fillId="0" borderId="10" xfId="1" applyNumberFormat="1" applyFont="1" applyFill="1" applyBorder="1" applyAlignment="1">
      <alignment horizontal="right" vertical="center"/>
    </xf>
    <xf numFmtId="38" fontId="8" fillId="7" borderId="22" xfId="1" applyNumberFormat="1" applyFont="1" applyFill="1" applyBorder="1"/>
    <xf numFmtId="188" fontId="8" fillId="7" borderId="4" xfId="1" applyNumberFormat="1" applyFont="1" applyFill="1" applyBorder="1"/>
    <xf numFmtId="188" fontId="3" fillId="11" borderId="4" xfId="1" applyNumberFormat="1" applyFont="1" applyFill="1" applyBorder="1"/>
    <xf numFmtId="188" fontId="51" fillId="0" borderId="0" xfId="1" applyNumberFormat="1" applyFont="1" applyBorder="1" applyAlignment="1">
      <alignment horizontal="center"/>
    </xf>
    <xf numFmtId="188" fontId="51" fillId="0" borderId="60" xfId="1" applyNumberFormat="1" applyFont="1" applyBorder="1" applyAlignment="1">
      <alignment horizontal="center"/>
    </xf>
    <xf numFmtId="43" fontId="54" fillId="0" borderId="21" xfId="1" applyFont="1" applyBorder="1"/>
    <xf numFmtId="188" fontId="54" fillId="0" borderId="0" xfId="1" applyNumberFormat="1" applyFont="1" applyAlignment="1">
      <alignment horizontal="center" vertical="center"/>
    </xf>
    <xf numFmtId="188" fontId="54" fillId="0" borderId="0" xfId="1" applyNumberFormat="1" applyFont="1"/>
    <xf numFmtId="188" fontId="54" fillId="0" borderId="0" xfId="1" applyNumberFormat="1" applyFont="1" applyFill="1" applyAlignment="1">
      <alignment horizontal="center" vertical="center"/>
    </xf>
    <xf numFmtId="43" fontId="61" fillId="0" borderId="0" xfId="1" applyFont="1" applyAlignment="1">
      <alignment horizontal="center" vertical="center"/>
    </xf>
    <xf numFmtId="43" fontId="53" fillId="0" borderId="0" xfId="1" applyFont="1" applyFill="1"/>
    <xf numFmtId="188" fontId="61" fillId="0" borderId="0" xfId="0" applyNumberFormat="1" applyFont="1" applyAlignment="1">
      <alignment horizontal="right"/>
    </xf>
    <xf numFmtId="0" fontId="62" fillId="0" borderId="0" xfId="0" applyFont="1"/>
    <xf numFmtId="43" fontId="54" fillId="0" borderId="0" xfId="1" applyFont="1" applyFill="1" applyAlignment="1">
      <alignment horizontal="left"/>
    </xf>
    <xf numFmtId="188" fontId="62" fillId="0" borderId="0" xfId="0" applyNumberFormat="1" applyFont="1" applyAlignment="1">
      <alignment horizontal="left"/>
    </xf>
    <xf numFmtId="0" fontId="63" fillId="0" borderId="0" xfId="0" applyFont="1"/>
    <xf numFmtId="188" fontId="63" fillId="0" borderId="60" xfId="1" applyNumberFormat="1" applyFont="1" applyBorder="1" applyAlignment="1">
      <alignment horizontal="center"/>
    </xf>
    <xf numFmtId="0" fontId="50" fillId="0" borderId="0" xfId="0" applyFont="1" applyAlignment="1">
      <alignment horizontal="left" vertical="center"/>
    </xf>
    <xf numFmtId="188" fontId="50" fillId="0" borderId="60" xfId="1" applyNumberFormat="1" applyFont="1" applyBorder="1" applyAlignment="1">
      <alignment horizontal="right" vertical="center"/>
    </xf>
    <xf numFmtId="188" fontId="50" fillId="0" borderId="60" xfId="1" applyNumberFormat="1" applyFont="1" applyFill="1" applyBorder="1" applyAlignment="1">
      <alignment vertical="center"/>
    </xf>
    <xf numFmtId="188" fontId="50" fillId="0" borderId="0" xfId="1" applyNumberFormat="1" applyFont="1" applyFill="1" applyBorder="1" applyAlignment="1">
      <alignment vertical="center"/>
    </xf>
    <xf numFmtId="188" fontId="50" fillId="0" borderId="60" xfId="0" applyNumberFormat="1" applyFont="1" applyBorder="1" applyAlignment="1">
      <alignment vertical="center"/>
    </xf>
    <xf numFmtId="0" fontId="56" fillId="0" borderId="0" xfId="0" applyFont="1" applyAlignment="1">
      <alignment horizontal="left" vertical="center"/>
    </xf>
    <xf numFmtId="188" fontId="56" fillId="0" borderId="0" xfId="0" applyNumberFormat="1" applyFont="1" applyAlignment="1">
      <alignment vertical="center"/>
    </xf>
    <xf numFmtId="188" fontId="50" fillId="0" borderId="60" xfId="0" applyNumberFormat="1" applyFont="1" applyBorder="1"/>
    <xf numFmtId="188" fontId="56" fillId="0" borderId="60" xfId="0" applyNumberFormat="1" applyFont="1" applyBorder="1" applyAlignment="1">
      <alignment vertical="center"/>
    </xf>
    <xf numFmtId="188" fontId="50" fillId="0" borderId="0" xfId="1" applyNumberFormat="1" applyFont="1" applyBorder="1" applyAlignment="1">
      <alignment horizontal="center"/>
    </xf>
    <xf numFmtId="188" fontId="50" fillId="0" borderId="60" xfId="1" applyNumberFormat="1" applyFont="1" applyBorder="1" applyAlignment="1">
      <alignment horizontal="center"/>
    </xf>
    <xf numFmtId="188" fontId="50" fillId="0" borderId="0" xfId="1" applyNumberFormat="1" applyFont="1" applyFill="1" applyBorder="1" applyAlignment="1">
      <alignment horizontal="center" vertical="center"/>
    </xf>
    <xf numFmtId="188" fontId="50" fillId="0" borderId="60" xfId="1" applyNumberFormat="1" applyFont="1" applyFill="1" applyBorder="1" applyAlignment="1">
      <alignment horizontal="center" vertical="center"/>
    </xf>
    <xf numFmtId="188" fontId="50" fillId="0" borderId="0" xfId="1" applyNumberFormat="1" applyFont="1" applyBorder="1" applyAlignment="1">
      <alignment horizontal="center" vertical="center"/>
    </xf>
    <xf numFmtId="188" fontId="50" fillId="0" borderId="60" xfId="1" applyNumberFormat="1" applyFont="1" applyBorder="1" applyAlignment="1">
      <alignment horizontal="center" vertical="center"/>
    </xf>
    <xf numFmtId="188" fontId="50" fillId="0" borderId="60" xfId="1" applyNumberFormat="1" applyFont="1" applyBorder="1"/>
    <xf numFmtId="188" fontId="50" fillId="0" borderId="0" xfId="1" applyNumberFormat="1" applyFont="1" applyBorder="1"/>
    <xf numFmtId="0" fontId="50" fillId="0" borderId="0" xfId="0" applyFont="1" applyAlignment="1">
      <alignment horizontal="center" vertical="center"/>
    </xf>
    <xf numFmtId="188" fontId="50" fillId="0" borderId="60" xfId="0" applyNumberFormat="1" applyFont="1" applyBorder="1" applyAlignment="1">
      <alignment horizontal="center" vertical="center"/>
    </xf>
    <xf numFmtId="0" fontId="3" fillId="18" borderId="0" xfId="0" applyFont="1" applyFill="1"/>
    <xf numFmtId="0" fontId="3" fillId="8" borderId="86" xfId="0" applyFont="1" applyFill="1" applyBorder="1" applyAlignment="1">
      <alignment horizontal="center"/>
    </xf>
    <xf numFmtId="0" fontId="3" fillId="8" borderId="21" xfId="0" applyFont="1" applyFill="1" applyBorder="1"/>
    <xf numFmtId="0" fontId="3" fillId="8" borderId="76" xfId="0" applyFont="1" applyFill="1" applyBorder="1"/>
    <xf numFmtId="0" fontId="3" fillId="8" borderId="149" xfId="0" applyFont="1" applyFill="1" applyBorder="1" applyAlignment="1">
      <alignment horizontal="center"/>
    </xf>
    <xf numFmtId="0" fontId="3" fillId="8" borderId="149" xfId="0" applyFont="1" applyFill="1" applyBorder="1"/>
    <xf numFmtId="0" fontId="3" fillId="8" borderId="152" xfId="0" applyFont="1" applyFill="1" applyBorder="1"/>
    <xf numFmtId="0" fontId="6" fillId="0" borderId="149" xfId="0" applyFont="1" applyBorder="1"/>
    <xf numFmtId="0" fontId="7" fillId="17" borderId="149" xfId="0" applyFont="1" applyFill="1" applyBorder="1"/>
    <xf numFmtId="0" fontId="7" fillId="11" borderId="149" xfId="0" applyFont="1" applyFill="1" applyBorder="1" applyAlignment="1">
      <alignment wrapText="1"/>
    </xf>
    <xf numFmtId="0" fontId="5" fillId="11" borderId="149" xfId="0" applyFont="1" applyFill="1" applyBorder="1" applyAlignment="1">
      <alignment wrapText="1"/>
    </xf>
    <xf numFmtId="0" fontId="7" fillId="11" borderId="149" xfId="0" applyFont="1" applyFill="1" applyBorder="1"/>
    <xf numFmtId="0" fontId="8" fillId="11" borderId="149" xfId="0" applyFont="1" applyFill="1" applyBorder="1"/>
    <xf numFmtId="0" fontId="51" fillId="11" borderId="48" xfId="0" applyFont="1" applyFill="1" applyBorder="1"/>
    <xf numFmtId="0" fontId="51" fillId="20" borderId="48" xfId="0" applyFont="1" applyFill="1" applyBorder="1"/>
    <xf numFmtId="0" fontId="63" fillId="11" borderId="48" xfId="0" applyFont="1" applyFill="1" applyBorder="1"/>
    <xf numFmtId="194" fontId="51" fillId="0" borderId="0" xfId="1" applyNumberFormat="1" applyFont="1"/>
    <xf numFmtId="194" fontId="63" fillId="0" borderId="0" xfId="1" applyNumberFormat="1" applyFont="1"/>
    <xf numFmtId="49" fontId="5" fillId="0" borderId="47" xfId="0" applyNumberFormat="1" applyFont="1" applyBorder="1" applyAlignment="1">
      <alignment horizontal="left" vertical="center"/>
    </xf>
    <xf numFmtId="49" fontId="5" fillId="0" borderId="47" xfId="0" applyNumberFormat="1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188" fontId="52" fillId="0" borderId="68" xfId="1" applyNumberFormat="1" applyFont="1" applyBorder="1"/>
    <xf numFmtId="188" fontId="64" fillId="0" borderId="0" xfId="1" applyNumberFormat="1" applyFont="1" applyAlignment="1">
      <alignment vertical="center"/>
    </xf>
    <xf numFmtId="194" fontId="64" fillId="0" borderId="0" xfId="1" applyNumberFormat="1" applyFont="1" applyAlignment="1">
      <alignment vertical="center"/>
    </xf>
    <xf numFmtId="188" fontId="64" fillId="0" borderId="0" xfId="1" applyNumberFormat="1" applyFont="1" applyAlignment="1">
      <alignment horizontal="center" vertical="center"/>
    </xf>
    <xf numFmtId="0" fontId="4" fillId="20" borderId="48" xfId="0" applyFont="1" applyFill="1" applyBorder="1"/>
    <xf numFmtId="0" fontId="71" fillId="0" borderId="0" xfId="0" applyFont="1" applyAlignment="1">
      <alignment horizontal="center" vertical="center"/>
    </xf>
    <xf numFmtId="0" fontId="51" fillId="3" borderId="48" xfId="0" applyFont="1" applyFill="1" applyBorder="1"/>
    <xf numFmtId="0" fontId="63" fillId="3" borderId="47" xfId="0" applyFont="1" applyFill="1" applyBorder="1"/>
    <xf numFmtId="0" fontId="51" fillId="32" borderId="48" xfId="0" applyFont="1" applyFill="1" applyBorder="1"/>
    <xf numFmtId="0" fontId="51" fillId="32" borderId="43" xfId="0" applyFont="1" applyFill="1" applyBorder="1"/>
    <xf numFmtId="0" fontId="63" fillId="32" borderId="48" xfId="0" applyFont="1" applyFill="1" applyBorder="1"/>
    <xf numFmtId="0" fontId="63" fillId="32" borderId="43" xfId="0" applyFont="1" applyFill="1" applyBorder="1"/>
    <xf numFmtId="49" fontId="7" fillId="32" borderId="47" xfId="0" applyNumberFormat="1" applyFont="1" applyFill="1" applyBorder="1" applyAlignment="1">
      <alignment horizontal="left" vertical="center"/>
    </xf>
    <xf numFmtId="49" fontId="6" fillId="32" borderId="47" xfId="0" applyNumberFormat="1" applyFont="1" applyFill="1" applyBorder="1" applyAlignment="1">
      <alignment horizontal="left" vertical="center"/>
    </xf>
    <xf numFmtId="49" fontId="7" fillId="32" borderId="47" xfId="0" applyNumberFormat="1" applyFont="1" applyFill="1" applyBorder="1" applyAlignment="1">
      <alignment vertical="center"/>
    </xf>
    <xf numFmtId="49" fontId="6" fillId="32" borderId="47" xfId="0" applyNumberFormat="1" applyFont="1" applyFill="1" applyBorder="1" applyAlignment="1">
      <alignment vertical="center"/>
    </xf>
    <xf numFmtId="0" fontId="50" fillId="32" borderId="48" xfId="0" applyFont="1" applyFill="1" applyBorder="1"/>
    <xf numFmtId="188" fontId="3" fillId="32" borderId="35" xfId="1" applyNumberFormat="1" applyFont="1" applyFill="1" applyBorder="1"/>
    <xf numFmtId="0" fontId="4" fillId="32" borderId="48" xfId="0" applyFont="1" applyFill="1" applyBorder="1"/>
    <xf numFmtId="0" fontId="7" fillId="32" borderId="47" xfId="0" applyFont="1" applyFill="1" applyBorder="1" applyAlignment="1">
      <alignment vertical="center"/>
    </xf>
    <xf numFmtId="0" fontId="6" fillId="32" borderId="47" xfId="0" applyFont="1" applyFill="1" applyBorder="1" applyAlignment="1">
      <alignment vertical="center"/>
    </xf>
    <xf numFmtId="0" fontId="63" fillId="11" borderId="47" xfId="0" applyFont="1" applyFill="1" applyBorder="1"/>
    <xf numFmtId="0" fontId="63" fillId="11" borderId="43" xfId="0" applyFont="1" applyFill="1" applyBorder="1"/>
    <xf numFmtId="0" fontId="51" fillId="11" borderId="47" xfId="0" applyFont="1" applyFill="1" applyBorder="1"/>
    <xf numFmtId="0" fontId="52" fillId="11" borderId="47" xfId="0" applyFont="1" applyFill="1" applyBorder="1" applyAlignment="1">
      <alignment horizontal="left" wrapText="1"/>
    </xf>
    <xf numFmtId="194" fontId="63" fillId="3" borderId="153" xfId="1" applyNumberFormat="1" applyFont="1" applyFill="1" applyBorder="1" applyAlignment="1">
      <alignment horizontal="center" vertical="center"/>
    </xf>
    <xf numFmtId="0" fontId="64" fillId="3" borderId="123" xfId="0" applyFont="1" applyFill="1" applyBorder="1" applyAlignment="1">
      <alignment wrapText="1"/>
    </xf>
    <xf numFmtId="0" fontId="51" fillId="3" borderId="124" xfId="0" applyFont="1" applyFill="1" applyBorder="1"/>
    <xf numFmtId="0" fontId="63" fillId="3" borderId="125" xfId="0" applyFont="1" applyFill="1" applyBorder="1"/>
    <xf numFmtId="0" fontId="51" fillId="3" borderId="115" xfId="0" applyFont="1" applyFill="1" applyBorder="1"/>
    <xf numFmtId="0" fontId="72" fillId="32" borderId="4" xfId="0" applyFont="1" applyFill="1" applyBorder="1" applyAlignment="1">
      <alignment vertical="center"/>
    </xf>
    <xf numFmtId="0" fontId="72" fillId="32" borderId="9" xfId="0" applyFont="1" applyFill="1" applyBorder="1" applyAlignment="1">
      <alignment vertical="center"/>
    </xf>
    <xf numFmtId="0" fontId="58" fillId="32" borderId="11" xfId="0" applyFont="1" applyFill="1" applyBorder="1" applyAlignment="1">
      <alignment vertical="center"/>
    </xf>
    <xf numFmtId="0" fontId="72" fillId="10" borderId="48" xfId="0" applyFont="1" applyFill="1" applyBorder="1"/>
    <xf numFmtId="0" fontId="58" fillId="10" borderId="47" xfId="0" applyFont="1" applyFill="1" applyBorder="1"/>
    <xf numFmtId="0" fontId="58" fillId="10" borderId="43" xfId="0" applyFont="1" applyFill="1" applyBorder="1"/>
    <xf numFmtId="41" fontId="63" fillId="9" borderId="35" xfId="1" applyNumberFormat="1" applyFont="1" applyFill="1" applyBorder="1"/>
    <xf numFmtId="41" fontId="3" fillId="9" borderId="35" xfId="1" applyNumberFormat="1" applyFont="1" applyFill="1" applyBorder="1"/>
    <xf numFmtId="41" fontId="51" fillId="14" borderId="35" xfId="1" applyNumberFormat="1" applyFont="1" applyFill="1" applyBorder="1"/>
    <xf numFmtId="41" fontId="51" fillId="28" borderId="35" xfId="1" applyNumberFormat="1" applyFont="1" applyFill="1" applyBorder="1"/>
    <xf numFmtId="41" fontId="63" fillId="33" borderId="35" xfId="1" applyNumberFormat="1" applyFont="1" applyFill="1" applyBorder="1"/>
    <xf numFmtId="41" fontId="63" fillId="32" borderId="35" xfId="1" applyNumberFormat="1" applyFont="1" applyFill="1" applyBorder="1"/>
    <xf numFmtId="41" fontId="4" fillId="14" borderId="35" xfId="1" applyNumberFormat="1" applyFont="1" applyFill="1" applyBorder="1"/>
    <xf numFmtId="41" fontId="4" fillId="28" borderId="35" xfId="1" applyNumberFormat="1" applyFont="1" applyFill="1" applyBorder="1"/>
    <xf numFmtId="41" fontId="3" fillId="32" borderId="35" xfId="1" applyNumberFormat="1" applyFont="1" applyFill="1" applyBorder="1"/>
    <xf numFmtId="41" fontId="3" fillId="33" borderId="35" xfId="1" applyNumberFormat="1" applyFont="1" applyFill="1" applyBorder="1"/>
    <xf numFmtId="41" fontId="63" fillId="20" borderId="35" xfId="1" applyNumberFormat="1" applyFont="1" applyFill="1" applyBorder="1"/>
    <xf numFmtId="41" fontId="63" fillId="4" borderId="35" xfId="1" applyNumberFormat="1" applyFont="1" applyFill="1" applyBorder="1"/>
    <xf numFmtId="41" fontId="63" fillId="0" borderId="35" xfId="1" applyNumberFormat="1" applyFont="1" applyBorder="1"/>
    <xf numFmtId="41" fontId="63" fillId="11" borderId="35" xfId="1" applyNumberFormat="1" applyFont="1" applyFill="1" applyBorder="1"/>
    <xf numFmtId="41" fontId="51" fillId="14" borderId="40" xfId="1" applyNumberFormat="1" applyFont="1" applyFill="1" applyBorder="1"/>
    <xf numFmtId="41" fontId="51" fillId="28" borderId="40" xfId="1" applyNumberFormat="1" applyFont="1" applyFill="1" applyBorder="1"/>
    <xf numFmtId="41" fontId="63" fillId="9" borderId="40" xfId="1" applyNumberFormat="1" applyFont="1" applyFill="1" applyBorder="1"/>
    <xf numFmtId="41" fontId="63" fillId="33" borderId="40" xfId="1" applyNumberFormat="1" applyFont="1" applyFill="1" applyBorder="1"/>
    <xf numFmtId="41" fontId="63" fillId="32" borderId="40" xfId="1" applyNumberFormat="1" applyFont="1" applyFill="1" applyBorder="1"/>
    <xf numFmtId="41" fontId="72" fillId="14" borderId="75" xfId="1" applyNumberFormat="1" applyFont="1" applyFill="1" applyBorder="1"/>
    <xf numFmtId="41" fontId="72" fillId="28" borderId="75" xfId="1" applyNumberFormat="1" applyFont="1" applyFill="1" applyBorder="1"/>
    <xf numFmtId="41" fontId="72" fillId="9" borderId="75" xfId="1" applyNumberFormat="1" applyFont="1" applyFill="1" applyBorder="1"/>
    <xf numFmtId="41" fontId="72" fillId="33" borderId="75" xfId="1" applyNumberFormat="1" applyFont="1" applyFill="1" applyBorder="1"/>
    <xf numFmtId="41" fontId="72" fillId="32" borderId="75" xfId="1" applyNumberFormat="1" applyFont="1" applyFill="1" applyBorder="1"/>
    <xf numFmtId="188" fontId="63" fillId="9" borderId="107" xfId="1" applyNumberFormat="1" applyFont="1" applyFill="1" applyBorder="1" applyAlignment="1">
      <alignment horizontal="center" vertical="center"/>
    </xf>
    <xf numFmtId="194" fontId="63" fillId="9" borderId="107" xfId="1" applyNumberFormat="1" applyFont="1" applyFill="1" applyBorder="1" applyAlignment="1">
      <alignment horizontal="center" vertical="center"/>
    </xf>
    <xf numFmtId="41" fontId="63" fillId="11" borderId="40" xfId="1" applyNumberFormat="1" applyFont="1" applyFill="1" applyBorder="1"/>
    <xf numFmtId="41" fontId="72" fillId="22" borderId="75" xfId="1" applyNumberFormat="1" applyFont="1" applyFill="1" applyBorder="1"/>
    <xf numFmtId="41" fontId="63" fillId="22" borderId="40" xfId="1" applyNumberFormat="1" applyFont="1" applyFill="1" applyBorder="1"/>
    <xf numFmtId="41" fontId="63" fillId="22" borderId="35" xfId="1" applyNumberFormat="1" applyFont="1" applyFill="1" applyBorder="1"/>
    <xf numFmtId="41" fontId="3" fillId="22" borderId="35" xfId="1" applyNumberFormat="1" applyFont="1" applyFill="1" applyBorder="1"/>
    <xf numFmtId="41" fontId="72" fillId="18" borderId="75" xfId="1" applyNumberFormat="1" applyFont="1" applyFill="1" applyBorder="1"/>
    <xf numFmtId="41" fontId="63" fillId="18" borderId="40" xfId="1" applyNumberFormat="1" applyFont="1" applyFill="1" applyBorder="1"/>
    <xf numFmtId="41" fontId="63" fillId="18" borderId="35" xfId="1" applyNumberFormat="1" applyFont="1" applyFill="1" applyBorder="1"/>
    <xf numFmtId="41" fontId="3" fillId="18" borderId="35" xfId="1" applyNumberFormat="1" applyFont="1" applyFill="1" applyBorder="1"/>
    <xf numFmtId="188" fontId="51" fillId="34" borderId="0" xfId="1" applyNumberFormat="1" applyFont="1" applyFill="1"/>
    <xf numFmtId="0" fontId="4" fillId="34" borderId="0" xfId="0" applyFont="1" applyFill="1"/>
    <xf numFmtId="0" fontId="49" fillId="34" borderId="0" xfId="0" applyFont="1" applyFill="1"/>
    <xf numFmtId="188" fontId="50" fillId="35" borderId="0" xfId="1" applyNumberFormat="1" applyFont="1" applyFill="1" applyAlignment="1">
      <alignment wrapText="1"/>
    </xf>
    <xf numFmtId="188" fontId="72" fillId="3" borderId="123" xfId="1" applyNumberFormat="1" applyFont="1" applyFill="1" applyBorder="1"/>
    <xf numFmtId="41" fontId="72" fillId="3" borderId="123" xfId="1" applyNumberFormat="1" applyFont="1" applyFill="1" applyBorder="1"/>
    <xf numFmtId="194" fontId="63" fillId="3" borderId="75" xfId="1" applyNumberFormat="1" applyFont="1" applyFill="1" applyBorder="1" applyAlignment="1">
      <alignment horizontal="center" vertical="center" wrapText="1"/>
    </xf>
    <xf numFmtId="188" fontId="4" fillId="11" borderId="5" xfId="0" applyNumberFormat="1" applyFont="1" applyFill="1" applyBorder="1"/>
    <xf numFmtId="188" fontId="4" fillId="11" borderId="21" xfId="1" applyNumberFormat="1" applyFont="1" applyFill="1" applyBorder="1" applyAlignment="1">
      <alignment horizontal="center"/>
    </xf>
    <xf numFmtId="188" fontId="3" fillId="0" borderId="91" xfId="1" applyNumberFormat="1" applyFont="1" applyFill="1" applyBorder="1"/>
    <xf numFmtId="188" fontId="4" fillId="0" borderId="21" xfId="1" applyNumberFormat="1" applyFont="1" applyFill="1" applyBorder="1" applyAlignment="1">
      <alignment horizontal="center"/>
    </xf>
    <xf numFmtId="41" fontId="52" fillId="0" borderId="0" xfId="1" applyNumberFormat="1" applyFont="1"/>
    <xf numFmtId="41" fontId="52" fillId="0" borderId="68" xfId="1" applyNumberFormat="1" applyFont="1" applyBorder="1"/>
    <xf numFmtId="41" fontId="8" fillId="0" borderId="0" xfId="1" applyNumberFormat="1" applyFont="1"/>
    <xf numFmtId="0" fontId="3" fillId="18" borderId="0" xfId="0" applyFont="1" applyFill="1" applyAlignment="1">
      <alignment horizontal="left" vertical="center"/>
    </xf>
    <xf numFmtId="0" fontId="4" fillId="18" borderId="0" xfId="0" applyFont="1" applyFill="1"/>
    <xf numFmtId="0" fontId="8" fillId="26" borderId="0" xfId="0" applyFont="1" applyFill="1"/>
    <xf numFmtId="188" fontId="8" fillId="7" borderId="0" xfId="1" applyNumberFormat="1" applyFont="1" applyFill="1" applyBorder="1" applyAlignment="1">
      <alignment horizontal="center"/>
    </xf>
    <xf numFmtId="188" fontId="8" fillId="22" borderId="0" xfId="1" applyNumberFormat="1" applyFont="1" applyFill="1" applyBorder="1"/>
    <xf numFmtId="188" fontId="8" fillId="18" borderId="0" xfId="1" applyNumberFormat="1" applyFont="1" applyFill="1" applyBorder="1"/>
    <xf numFmtId="3" fontId="8" fillId="17" borderId="0" xfId="0" applyNumberFormat="1" applyFont="1" applyFill="1"/>
    <xf numFmtId="188" fontId="8" fillId="5" borderId="0" xfId="1" applyNumberFormat="1" applyFont="1" applyFill="1" applyBorder="1"/>
    <xf numFmtId="188" fontId="5" fillId="5" borderId="0" xfId="1" applyNumberFormat="1" applyFont="1" applyFill="1" applyBorder="1"/>
    <xf numFmtId="188" fontId="8" fillId="7" borderId="0" xfId="0" applyNumberFormat="1" applyFont="1" applyFill="1"/>
    <xf numFmtId="188" fontId="8" fillId="22" borderId="0" xfId="0" applyNumberFormat="1" applyFont="1" applyFill="1"/>
    <xf numFmtId="0" fontId="5" fillId="26" borderId="0" xfId="0" applyFont="1" applyFill="1" applyAlignment="1">
      <alignment horizontal="center" vertical="center"/>
    </xf>
    <xf numFmtId="3" fontId="5" fillId="5" borderId="0" xfId="0" applyNumberFormat="1" applyFont="1" applyFill="1" applyAlignment="1">
      <alignment vertical="center"/>
    </xf>
    <xf numFmtId="188" fontId="5" fillId="7" borderId="0" xfId="0" applyNumberFormat="1" applyFont="1" applyFill="1" applyAlignment="1">
      <alignment vertical="center"/>
    </xf>
    <xf numFmtId="188" fontId="5" fillId="22" borderId="0" xfId="0" applyNumberFormat="1" applyFont="1" applyFill="1" applyAlignment="1">
      <alignment vertical="center"/>
    </xf>
    <xf numFmtId="3" fontId="5" fillId="17" borderId="0" xfId="0" applyNumberFormat="1" applyFont="1" applyFill="1" applyAlignment="1">
      <alignment vertical="center"/>
    </xf>
    <xf numFmtId="3" fontId="8" fillId="0" borderId="0" xfId="0" applyNumberFormat="1" applyFont="1"/>
    <xf numFmtId="41" fontId="52" fillId="22" borderId="35" xfId="1" applyNumberFormat="1" applyFont="1" applyFill="1" applyBorder="1"/>
    <xf numFmtId="41" fontId="8" fillId="22" borderId="35" xfId="1" applyNumberFormat="1" applyFont="1" applyFill="1" applyBorder="1"/>
    <xf numFmtId="188" fontId="64" fillId="0" borderId="0" xfId="1" applyNumberFormat="1" applyFont="1"/>
    <xf numFmtId="188" fontId="64" fillId="0" borderId="68" xfId="1" applyNumberFormat="1" applyFont="1" applyBorder="1"/>
    <xf numFmtId="199" fontId="51" fillId="0" borderId="0" xfId="1" applyNumberFormat="1" applyFont="1"/>
    <xf numFmtId="41" fontId="63" fillId="22" borderId="50" xfId="1" applyNumberFormat="1" applyFont="1" applyFill="1" applyBorder="1"/>
    <xf numFmtId="41" fontId="63" fillId="18" borderId="50" xfId="1" applyNumberFormat="1" applyFont="1" applyFill="1" applyBorder="1"/>
    <xf numFmtId="41" fontId="63" fillId="9" borderId="50" xfId="1" applyNumberFormat="1" applyFont="1" applyFill="1" applyBorder="1"/>
    <xf numFmtId="41" fontId="63" fillId="33" borderId="50" xfId="1" applyNumberFormat="1" applyFont="1" applyFill="1" applyBorder="1"/>
    <xf numFmtId="41" fontId="63" fillId="32" borderId="50" xfId="1" applyNumberFormat="1" applyFont="1" applyFill="1" applyBorder="1"/>
    <xf numFmtId="41" fontId="63" fillId="14" borderId="50" xfId="1" applyNumberFormat="1" applyFont="1" applyFill="1" applyBorder="1"/>
    <xf numFmtId="41" fontId="63" fillId="28" borderId="50" xfId="1" applyNumberFormat="1" applyFont="1" applyFill="1" applyBorder="1"/>
    <xf numFmtId="188" fontId="63" fillId="0" borderId="0" xfId="1" applyNumberFormat="1" applyFont="1"/>
    <xf numFmtId="199" fontId="63" fillId="0" borderId="0" xfId="1" applyNumberFormat="1" applyFont="1"/>
    <xf numFmtId="0" fontId="63" fillId="15" borderId="154" xfId="0" applyFont="1" applyFill="1" applyBorder="1"/>
    <xf numFmtId="49" fontId="5" fillId="15" borderId="155" xfId="0" applyNumberFormat="1" applyFont="1" applyFill="1" applyBorder="1" applyAlignment="1">
      <alignment vertical="center"/>
    </xf>
    <xf numFmtId="49" fontId="15" fillId="15" borderId="155" xfId="0" applyNumberFormat="1" applyFont="1" applyFill="1" applyBorder="1" applyAlignment="1">
      <alignment vertical="center"/>
    </xf>
    <xf numFmtId="41" fontId="51" fillId="36" borderId="1" xfId="1" applyNumberFormat="1" applyFont="1" applyFill="1" applyBorder="1"/>
    <xf numFmtId="41" fontId="51" fillId="22" borderId="1" xfId="1" applyNumberFormat="1" applyFont="1" applyFill="1" applyBorder="1"/>
    <xf numFmtId="41" fontId="51" fillId="18" borderId="1" xfId="1" applyNumberFormat="1" applyFont="1" applyFill="1" applyBorder="1"/>
    <xf numFmtId="41" fontId="63" fillId="36" borderId="1" xfId="1" applyNumberFormat="1" applyFont="1" applyFill="1" applyBorder="1"/>
    <xf numFmtId="49" fontId="3" fillId="15" borderId="155" xfId="0" applyNumberFormat="1" applyFont="1" applyFill="1" applyBorder="1" applyAlignment="1">
      <alignment vertical="center"/>
    </xf>
    <xf numFmtId="0" fontId="72" fillId="15" borderId="48" xfId="0" applyFont="1" applyFill="1" applyBorder="1"/>
    <xf numFmtId="41" fontId="51" fillId="15" borderId="40" xfId="1" applyNumberFormat="1" applyFont="1" applyFill="1" applyBorder="1"/>
    <xf numFmtId="41" fontId="63" fillId="15" borderId="40" xfId="1" applyNumberFormat="1" applyFont="1" applyFill="1" applyBorder="1"/>
    <xf numFmtId="41" fontId="51" fillId="14" borderId="156" xfId="1" applyNumberFormat="1" applyFont="1" applyFill="1" applyBorder="1"/>
    <xf numFmtId="41" fontId="51" fillId="28" borderId="156" xfId="1" applyNumberFormat="1" applyFont="1" applyFill="1" applyBorder="1"/>
    <xf numFmtId="41" fontId="51" fillId="22" borderId="156" xfId="1" applyNumberFormat="1" applyFont="1" applyFill="1" applyBorder="1"/>
    <xf numFmtId="41" fontId="51" fillId="18" borderId="156" xfId="1" applyNumberFormat="1" applyFont="1" applyFill="1" applyBorder="1"/>
    <xf numFmtId="41" fontId="51" fillId="9" borderId="156" xfId="1" applyNumberFormat="1" applyFont="1" applyFill="1" applyBorder="1"/>
    <xf numFmtId="41" fontId="51" fillId="36" borderId="156" xfId="1" applyNumberFormat="1" applyFont="1" applyFill="1" applyBorder="1"/>
    <xf numFmtId="41" fontId="63" fillId="36" borderId="156" xfId="1" applyNumberFormat="1" applyFont="1" applyFill="1" applyBorder="1"/>
    <xf numFmtId="41" fontId="51" fillId="22" borderId="35" xfId="1" applyNumberFormat="1" applyFont="1" applyFill="1" applyBorder="1"/>
    <xf numFmtId="41" fontId="51" fillId="18" borderId="35" xfId="1" applyNumberFormat="1" applyFont="1" applyFill="1" applyBorder="1"/>
    <xf numFmtId="41" fontId="51" fillId="9" borderId="35" xfId="1" applyNumberFormat="1" applyFont="1" applyFill="1" applyBorder="1"/>
    <xf numFmtId="41" fontId="51" fillId="36" borderId="35" xfId="1" applyNumberFormat="1" applyFont="1" applyFill="1" applyBorder="1"/>
    <xf numFmtId="41" fontId="63" fillId="36" borderId="35" xfId="1" applyNumberFormat="1" applyFont="1" applyFill="1" applyBorder="1"/>
    <xf numFmtId="199" fontId="63" fillId="0" borderId="0" xfId="1" applyNumberFormat="1" applyFont="1" applyAlignment="1">
      <alignment horizontal="center"/>
    </xf>
    <xf numFmtId="188" fontId="63" fillId="36" borderId="1" xfId="1" applyNumberFormat="1" applyFont="1" applyFill="1" applyBorder="1"/>
    <xf numFmtId="188" fontId="3" fillId="17" borderId="93" xfId="1" applyNumberFormat="1" applyFont="1" applyFill="1" applyBorder="1"/>
    <xf numFmtId="188" fontId="3" fillId="11" borderId="93" xfId="1" applyNumberFormat="1" applyFont="1" applyFill="1" applyBorder="1"/>
    <xf numFmtId="41" fontId="64" fillId="0" borderId="0" xfId="1" applyNumberFormat="1" applyFont="1"/>
    <xf numFmtId="188" fontId="64" fillId="6" borderId="0" xfId="1" applyNumberFormat="1" applyFont="1" applyFill="1"/>
    <xf numFmtId="188" fontId="3" fillId="32" borderId="40" xfId="1" applyNumberFormat="1" applyFont="1" applyFill="1" applyBorder="1"/>
    <xf numFmtId="188" fontId="51" fillId="6" borderId="0" xfId="1" applyNumberFormat="1" applyFont="1" applyFill="1"/>
    <xf numFmtId="194" fontId="51" fillId="6" borderId="0" xfId="1" applyNumberFormat="1" applyFont="1" applyFill="1"/>
    <xf numFmtId="0" fontId="3" fillId="8" borderId="100" xfId="0" applyFont="1" applyFill="1" applyBorder="1" applyAlignment="1">
      <alignment horizontal="center"/>
    </xf>
    <xf numFmtId="43" fontId="3" fillId="0" borderId="9" xfId="1" applyFont="1" applyBorder="1"/>
    <xf numFmtId="43" fontId="4" fillId="11" borderId="9" xfId="1" applyFont="1" applyFill="1" applyBorder="1"/>
    <xf numFmtId="188" fontId="3" fillId="17" borderId="5" xfId="1" applyNumberFormat="1" applyFont="1" applyFill="1" applyBorder="1"/>
    <xf numFmtId="188" fontId="3" fillId="11" borderId="5" xfId="1" applyNumberFormat="1" applyFont="1" applyFill="1" applyBorder="1"/>
    <xf numFmtId="194" fontId="63" fillId="22" borderId="153" xfId="1" applyNumberFormat="1" applyFont="1" applyFill="1" applyBorder="1" applyAlignment="1">
      <alignment horizontal="center" vertical="center"/>
    </xf>
    <xf numFmtId="194" fontId="63" fillId="22" borderId="75" xfId="1" applyNumberFormat="1" applyFont="1" applyFill="1" applyBorder="1" applyAlignment="1">
      <alignment horizontal="center" vertical="center" wrapText="1"/>
    </xf>
    <xf numFmtId="41" fontId="63" fillId="14" borderId="35" xfId="1" applyNumberFormat="1" applyFont="1" applyFill="1" applyBorder="1"/>
    <xf numFmtId="41" fontId="63" fillId="28" borderId="35" xfId="1" applyNumberFormat="1" applyFont="1" applyFill="1" applyBorder="1"/>
    <xf numFmtId="0" fontId="68" fillId="0" borderId="0" xfId="0" applyFont="1"/>
    <xf numFmtId="0" fontId="52" fillId="11" borderId="43" xfId="0" applyFont="1" applyFill="1" applyBorder="1"/>
    <xf numFmtId="41" fontId="51" fillId="11" borderId="35" xfId="1" applyNumberFormat="1" applyFont="1" applyFill="1" applyBorder="1"/>
    <xf numFmtId="0" fontId="52" fillId="11" borderId="43" xfId="0" applyFont="1" applyFill="1" applyBorder="1" applyAlignment="1">
      <alignment horizontal="left" wrapText="1"/>
    </xf>
    <xf numFmtId="0" fontId="51" fillId="3" borderId="0" xfId="0" applyFont="1" applyFill="1"/>
    <xf numFmtId="0" fontId="63" fillId="3" borderId="0" xfId="0" applyFont="1" applyFill="1"/>
    <xf numFmtId="0" fontId="64" fillId="3" borderId="0" xfId="0" applyFont="1" applyFill="1" applyAlignment="1">
      <alignment wrapText="1"/>
    </xf>
    <xf numFmtId="188" fontId="72" fillId="3" borderId="0" xfId="1" applyNumberFormat="1" applyFont="1" applyFill="1" applyBorder="1"/>
    <xf numFmtId="41" fontId="72" fillId="3" borderId="0" xfId="1" applyNumberFormat="1" applyFont="1" applyFill="1" applyBorder="1"/>
    <xf numFmtId="188" fontId="63" fillId="18" borderId="0" xfId="1" applyNumberFormat="1" applyFont="1" applyFill="1"/>
    <xf numFmtId="49" fontId="15" fillId="15" borderId="47" xfId="0" applyNumberFormat="1" applyFont="1" applyFill="1" applyBorder="1" applyAlignment="1">
      <alignment vertical="center"/>
    </xf>
    <xf numFmtId="41" fontId="72" fillId="15" borderId="75" xfId="1" applyNumberFormat="1" applyFont="1" applyFill="1" applyBorder="1"/>
    <xf numFmtId="41" fontId="63" fillId="15" borderId="35" xfId="1" applyNumberFormat="1" applyFont="1" applyFill="1" applyBorder="1"/>
    <xf numFmtId="41" fontId="3" fillId="15" borderId="35" xfId="1" applyNumberFormat="1" applyFont="1" applyFill="1" applyBorder="1"/>
    <xf numFmtId="41" fontId="51" fillId="15" borderId="1" xfId="1" applyNumberFormat="1" applyFont="1" applyFill="1" applyBorder="1"/>
    <xf numFmtId="41" fontId="51" fillId="15" borderId="156" xfId="1" applyNumberFormat="1" applyFont="1" applyFill="1" applyBorder="1"/>
    <xf numFmtId="41" fontId="51" fillId="15" borderId="35" xfId="1" applyNumberFormat="1" applyFont="1" applyFill="1" applyBorder="1"/>
    <xf numFmtId="41" fontId="72" fillId="15" borderId="123" xfId="1" applyNumberFormat="1" applyFont="1" applyFill="1" applyBorder="1"/>
    <xf numFmtId="188" fontId="63" fillId="14" borderId="107" xfId="1" applyNumberFormat="1" applyFont="1" applyFill="1" applyBorder="1" applyAlignment="1">
      <alignment horizontal="center" vertical="center" wrapText="1"/>
    </xf>
    <xf numFmtId="194" fontId="63" fillId="28" borderId="107" xfId="1" applyNumberFormat="1" applyFont="1" applyFill="1" applyBorder="1" applyAlignment="1">
      <alignment horizontal="center" vertical="center" wrapText="1"/>
    </xf>
    <xf numFmtId="188" fontId="63" fillId="22" borderId="107" xfId="1" applyNumberFormat="1" applyFont="1" applyFill="1" applyBorder="1" applyAlignment="1">
      <alignment horizontal="center" vertical="center" wrapText="1"/>
    </xf>
    <xf numFmtId="188" fontId="63" fillId="18" borderId="107" xfId="1" applyNumberFormat="1" applyFont="1" applyFill="1" applyBorder="1" applyAlignment="1">
      <alignment horizontal="center" vertical="center" wrapText="1"/>
    </xf>
    <xf numFmtId="188" fontId="63" fillId="32" borderId="63" xfId="1" applyNumberFormat="1" applyFont="1" applyFill="1" applyBorder="1"/>
    <xf numFmtId="188" fontId="63" fillId="15" borderId="63" xfId="1" applyNumberFormat="1" applyFont="1" applyFill="1" applyBorder="1"/>
    <xf numFmtId="188" fontId="73" fillId="15" borderId="7" xfId="1" applyNumberFormat="1" applyFont="1" applyFill="1" applyBorder="1"/>
    <xf numFmtId="188" fontId="63" fillId="20" borderId="43" xfId="1" applyNumberFormat="1" applyFont="1" applyFill="1" applyBorder="1"/>
    <xf numFmtId="188" fontId="3" fillId="20" borderId="43" xfId="1" applyNumberFormat="1" applyFont="1" applyFill="1" applyBorder="1"/>
    <xf numFmtId="188" fontId="51" fillId="20" borderId="43" xfId="1" applyNumberFormat="1" applyFont="1" applyFill="1" applyBorder="1"/>
    <xf numFmtId="188" fontId="63" fillId="11" borderId="63" xfId="1" applyNumberFormat="1" applyFont="1" applyFill="1" applyBorder="1"/>
    <xf numFmtId="188" fontId="63" fillId="11" borderId="43" xfId="1" applyNumberFormat="1" applyFont="1" applyFill="1" applyBorder="1"/>
    <xf numFmtId="188" fontId="60" fillId="11" borderId="43" xfId="1" applyNumberFormat="1" applyFont="1" applyFill="1" applyBorder="1"/>
    <xf numFmtId="188" fontId="51" fillId="11" borderId="43" xfId="1" applyNumberFormat="1" applyFont="1" applyFill="1" applyBorder="1"/>
    <xf numFmtId="188" fontId="51" fillId="11" borderId="157" xfId="1" applyNumberFormat="1" applyFont="1" applyFill="1" applyBorder="1"/>
    <xf numFmtId="188" fontId="72" fillId="3" borderId="125" xfId="1" applyNumberFormat="1" applyFont="1" applyFill="1" applyBorder="1"/>
    <xf numFmtId="188" fontId="72" fillId="32" borderId="22" xfId="1" applyNumberFormat="1" applyFont="1" applyFill="1" applyBorder="1"/>
    <xf numFmtId="188" fontId="63" fillId="32" borderId="44" xfId="1" applyNumberFormat="1" applyFont="1" applyFill="1" applyBorder="1"/>
    <xf numFmtId="188" fontId="63" fillId="32" borderId="60" xfId="1" applyNumberFormat="1" applyFont="1" applyFill="1" applyBorder="1"/>
    <xf numFmtId="188" fontId="73" fillId="32" borderId="54" xfId="1" applyNumberFormat="1" applyFont="1" applyFill="1" applyBorder="1"/>
    <xf numFmtId="188" fontId="3" fillId="32" borderId="41" xfId="1" applyNumberFormat="1" applyFont="1" applyFill="1" applyBorder="1"/>
    <xf numFmtId="188" fontId="3" fillId="32" borderId="44" xfId="1" applyNumberFormat="1" applyFont="1" applyFill="1" applyBorder="1"/>
    <xf numFmtId="188" fontId="63" fillId="15" borderId="41" xfId="1" applyNumberFormat="1" applyFont="1" applyFill="1" applyBorder="1"/>
    <xf numFmtId="188" fontId="73" fillId="15" borderId="102" xfId="1" applyNumberFormat="1" applyFont="1" applyFill="1" applyBorder="1"/>
    <xf numFmtId="188" fontId="63" fillId="20" borderId="44" xfId="1" applyNumberFormat="1" applyFont="1" applyFill="1" applyBorder="1"/>
    <xf numFmtId="188" fontId="3" fillId="20" borderId="44" xfId="1" applyNumberFormat="1" applyFont="1" applyFill="1" applyBorder="1"/>
    <xf numFmtId="188" fontId="51" fillId="20" borderId="44" xfId="1" applyNumberFormat="1" applyFont="1" applyFill="1" applyBorder="1"/>
    <xf numFmtId="188" fontId="63" fillId="11" borderId="44" xfId="1" applyNumberFormat="1" applyFont="1" applyFill="1" applyBorder="1"/>
    <xf numFmtId="188" fontId="60" fillId="11" borderId="44" xfId="1" applyNumberFormat="1" applyFont="1" applyFill="1" applyBorder="1"/>
    <xf numFmtId="188" fontId="51" fillId="11" borderId="44" xfId="1" applyNumberFormat="1" applyFont="1" applyFill="1" applyBorder="1"/>
    <xf numFmtId="188" fontId="63" fillId="28" borderId="107" xfId="1" applyNumberFormat="1" applyFont="1" applyFill="1" applyBorder="1" applyAlignment="1">
      <alignment horizontal="center" vertical="center" wrapText="1"/>
    </xf>
    <xf numFmtId="194" fontId="63" fillId="14" borderId="107" xfId="1" applyNumberFormat="1" applyFont="1" applyFill="1" applyBorder="1" applyAlignment="1">
      <alignment horizontal="center" vertical="center" wrapText="1"/>
    </xf>
    <xf numFmtId="194" fontId="63" fillId="22" borderId="107" xfId="1" applyNumberFormat="1" applyFont="1" applyFill="1" applyBorder="1" applyAlignment="1">
      <alignment horizontal="center" vertical="center" wrapText="1"/>
    </xf>
    <xf numFmtId="194" fontId="63" fillId="18" borderId="107" xfId="1" applyNumberFormat="1" applyFont="1" applyFill="1" applyBorder="1" applyAlignment="1">
      <alignment horizontal="center" vertical="center" wrapText="1"/>
    </xf>
    <xf numFmtId="41" fontId="51" fillId="0" borderId="40" xfId="1" applyNumberFormat="1" applyFont="1" applyBorder="1"/>
    <xf numFmtId="41" fontId="51" fillId="0" borderId="35" xfId="1" applyNumberFormat="1" applyFont="1" applyBorder="1"/>
    <xf numFmtId="41" fontId="51" fillId="4" borderId="156" xfId="1" applyNumberFormat="1" applyFont="1" applyFill="1" applyBorder="1"/>
    <xf numFmtId="41" fontId="51" fillId="4" borderId="35" xfId="1" applyNumberFormat="1" applyFont="1" applyFill="1" applyBorder="1"/>
    <xf numFmtId="41" fontId="4" fillId="4" borderId="35" xfId="1" applyNumberFormat="1" applyFont="1" applyFill="1" applyBorder="1"/>
    <xf numFmtId="41" fontId="51" fillId="20" borderId="35" xfId="1" applyNumberFormat="1" applyFont="1" applyFill="1" applyBorder="1"/>
    <xf numFmtId="41" fontId="51" fillId="0" borderId="0" xfId="1" applyNumberFormat="1" applyFont="1"/>
    <xf numFmtId="41" fontId="64" fillId="0" borderId="68" xfId="1" applyNumberFormat="1" applyFont="1" applyBorder="1"/>
    <xf numFmtId="41" fontId="64" fillId="0" borderId="0" xfId="1" applyNumberFormat="1" applyFont="1" applyAlignment="1">
      <alignment vertical="center"/>
    </xf>
    <xf numFmtId="41" fontId="51" fillId="32" borderId="4" xfId="1" applyNumberFormat="1" applyFont="1" applyFill="1" applyBorder="1"/>
    <xf numFmtId="41" fontId="51" fillId="32" borderId="35" xfId="1" applyNumberFormat="1" applyFont="1" applyFill="1" applyBorder="1"/>
    <xf numFmtId="188" fontId="72" fillId="36" borderId="75" xfId="1" applyNumberFormat="1" applyFont="1" applyFill="1" applyBorder="1"/>
    <xf numFmtId="188" fontId="51" fillId="36" borderId="40" xfId="1" applyNumberFormat="1" applyFont="1" applyFill="1" applyBorder="1"/>
    <xf numFmtId="188" fontId="51" fillId="36" borderId="35" xfId="1" applyNumberFormat="1" applyFont="1" applyFill="1" applyBorder="1"/>
    <xf numFmtId="188" fontId="63" fillId="36" borderId="50" xfId="1" applyNumberFormat="1" applyFont="1" applyFill="1" applyBorder="1"/>
    <xf numFmtId="188" fontId="4" fillId="36" borderId="35" xfId="1" applyNumberFormat="1" applyFont="1" applyFill="1" applyBorder="1"/>
    <xf numFmtId="188" fontId="51" fillId="36" borderId="156" xfId="1" applyNumberFormat="1" applyFont="1" applyFill="1" applyBorder="1"/>
    <xf numFmtId="188" fontId="63" fillId="36" borderId="35" xfId="1" applyNumberFormat="1" applyFont="1" applyFill="1" applyBorder="1"/>
    <xf numFmtId="188" fontId="51" fillId="36" borderId="158" xfId="1" applyNumberFormat="1" applyFont="1" applyFill="1" applyBorder="1"/>
    <xf numFmtId="188" fontId="72" fillId="36" borderId="123" xfId="1" applyNumberFormat="1" applyFont="1" applyFill="1" applyBorder="1"/>
    <xf numFmtId="188" fontId="72" fillId="32" borderId="159" xfId="1" applyNumberFormat="1" applyFont="1" applyFill="1" applyBorder="1"/>
    <xf numFmtId="41" fontId="63" fillId="15" borderId="1" xfId="1" applyNumberFormat="1" applyFont="1" applyFill="1" applyBorder="1"/>
    <xf numFmtId="41" fontId="58" fillId="15" borderId="119" xfId="1" applyNumberFormat="1" applyFont="1" applyFill="1" applyBorder="1"/>
    <xf numFmtId="41" fontId="58" fillId="15" borderId="35" xfId="1" applyNumberFormat="1" applyFont="1" applyFill="1" applyBorder="1"/>
    <xf numFmtId="188" fontId="63" fillId="32" borderId="42" xfId="1" applyNumberFormat="1" applyFont="1" applyFill="1" applyBorder="1"/>
    <xf numFmtId="41" fontId="51" fillId="32" borderId="40" xfId="1" applyNumberFormat="1" applyFont="1" applyFill="1" applyBorder="1"/>
    <xf numFmtId="188" fontId="71" fillId="0" borderId="0" xfId="0" applyNumberFormat="1" applyFont="1" applyAlignment="1">
      <alignment horizontal="center" vertical="center"/>
    </xf>
    <xf numFmtId="188" fontId="72" fillId="15" borderId="54" xfId="1" applyNumberFormat="1" applyFont="1" applyFill="1" applyBorder="1"/>
    <xf numFmtId="41" fontId="72" fillId="36" borderId="50" xfId="1" applyNumberFormat="1" applyFont="1" applyFill="1" applyBorder="1"/>
    <xf numFmtId="41" fontId="72" fillId="22" borderId="50" xfId="1" applyNumberFormat="1" applyFont="1" applyFill="1" applyBorder="1"/>
    <xf numFmtId="41" fontId="72" fillId="18" borderId="50" xfId="1" applyNumberFormat="1" applyFont="1" applyFill="1" applyBorder="1"/>
    <xf numFmtId="188" fontId="63" fillId="11" borderId="41" xfId="1" applyNumberFormat="1" applyFont="1" applyFill="1" applyBorder="1"/>
    <xf numFmtId="188" fontId="72" fillId="10" borderId="54" xfId="1" applyNumberFormat="1" applyFont="1" applyFill="1" applyBorder="1"/>
    <xf numFmtId="188" fontId="72" fillId="10" borderId="53" xfId="1" applyNumberFormat="1" applyFont="1" applyFill="1" applyBorder="1"/>
    <xf numFmtId="188" fontId="72" fillId="36" borderId="50" xfId="1" applyNumberFormat="1" applyFont="1" applyFill="1" applyBorder="1"/>
    <xf numFmtId="41" fontId="58" fillId="10" borderId="50" xfId="1" applyNumberFormat="1" applyFont="1" applyFill="1" applyBorder="1"/>
    <xf numFmtId="41" fontId="72" fillId="10" borderId="50" xfId="1" applyNumberFormat="1" applyFont="1" applyFill="1" applyBorder="1"/>
    <xf numFmtId="41" fontId="72" fillId="15" borderId="50" xfId="1" applyNumberFormat="1" applyFont="1" applyFill="1" applyBorder="1"/>
    <xf numFmtId="188" fontId="72" fillId="15" borderId="53" xfId="1" applyNumberFormat="1" applyFont="1" applyFill="1" applyBorder="1"/>
    <xf numFmtId="188" fontId="63" fillId="32" borderId="39" xfId="1" applyNumberFormat="1" applyFont="1" applyFill="1" applyBorder="1"/>
    <xf numFmtId="188" fontId="63" fillId="32" borderId="53" xfId="1" applyNumberFormat="1" applyFont="1" applyFill="1" applyBorder="1"/>
    <xf numFmtId="41" fontId="15" fillId="15" borderId="50" xfId="1" applyNumberFormat="1" applyFont="1" applyFill="1" applyBorder="1"/>
    <xf numFmtId="188" fontId="72" fillId="10" borderId="22" xfId="1" applyNumberFormat="1" applyFont="1" applyFill="1" applyBorder="1"/>
    <xf numFmtId="188" fontId="72" fillId="10" borderId="11" xfId="1" applyNumberFormat="1" applyFont="1" applyFill="1" applyBorder="1"/>
    <xf numFmtId="41" fontId="58" fillId="10" borderId="4" xfId="1" applyNumberFormat="1" applyFont="1" applyFill="1" applyBorder="1"/>
    <xf numFmtId="41" fontId="72" fillId="10" borderId="4" xfId="1" applyNumberFormat="1" applyFont="1" applyFill="1" applyBorder="1"/>
    <xf numFmtId="0" fontId="63" fillId="10" borderId="43" xfId="0" applyFont="1" applyFill="1" applyBorder="1"/>
    <xf numFmtId="188" fontId="72" fillId="10" borderId="4" xfId="1" applyNumberFormat="1" applyFont="1" applyFill="1" applyBorder="1"/>
    <xf numFmtId="41" fontId="63" fillId="10" borderId="35" xfId="1" applyNumberFormat="1" applyFont="1" applyFill="1" applyBorder="1"/>
    <xf numFmtId="41" fontId="63" fillId="10" borderId="40" xfId="1" applyNumberFormat="1" applyFont="1" applyFill="1" applyBorder="1"/>
    <xf numFmtId="41" fontId="64" fillId="0" borderId="0" xfId="1" applyNumberFormat="1" applyFont="1" applyBorder="1"/>
    <xf numFmtId="41" fontId="52" fillId="22" borderId="0" xfId="1" applyNumberFormat="1" applyFont="1" applyFill="1" applyBorder="1"/>
    <xf numFmtId="41" fontId="8" fillId="22" borderId="0" xfId="1" applyNumberFormat="1" applyFont="1" applyFill="1" applyBorder="1"/>
    <xf numFmtId="41" fontId="51" fillId="9" borderId="4" xfId="1" applyNumberFormat="1" applyFont="1" applyFill="1" applyBorder="1"/>
    <xf numFmtId="41" fontId="51" fillId="9" borderId="40" xfId="1" applyNumberFormat="1" applyFont="1" applyFill="1" applyBorder="1"/>
    <xf numFmtId="41" fontId="72" fillId="9" borderId="50" xfId="1" applyNumberFormat="1" applyFont="1" applyFill="1" applyBorder="1"/>
    <xf numFmtId="41" fontId="63" fillId="9" borderId="1" xfId="1" applyNumberFormat="1" applyFont="1" applyFill="1" applyBorder="1"/>
    <xf numFmtId="41" fontId="4" fillId="9" borderId="35" xfId="1" applyNumberFormat="1" applyFont="1" applyFill="1" applyBorder="1"/>
    <xf numFmtId="41" fontId="58" fillId="9" borderId="50" xfId="1" applyNumberFormat="1" applyFont="1" applyFill="1" applyBorder="1"/>
    <xf numFmtId="41" fontId="72" fillId="9" borderId="4" xfId="1" applyNumberFormat="1" applyFont="1" applyFill="1" applyBorder="1"/>
    <xf numFmtId="41" fontId="72" fillId="9" borderId="123" xfId="1" applyNumberFormat="1" applyFont="1" applyFill="1" applyBorder="1"/>
    <xf numFmtId="0" fontId="43" fillId="0" borderId="0" xfId="0" applyFont="1"/>
    <xf numFmtId="0" fontId="43" fillId="0" borderId="10" xfId="0" applyFont="1" applyBorder="1"/>
    <xf numFmtId="0" fontId="43" fillId="0" borderId="156" xfId="0" applyFont="1" applyBorder="1"/>
    <xf numFmtId="0" fontId="43" fillId="0" borderId="35" xfId="0" applyFont="1" applyBorder="1"/>
    <xf numFmtId="43" fontId="43" fillId="0" borderId="156" xfId="1" applyFont="1" applyBorder="1"/>
    <xf numFmtId="0" fontId="44" fillId="0" borderId="10" xfId="0" applyFont="1" applyBorder="1" applyAlignment="1">
      <alignment horizontal="center" vertical="center"/>
    </xf>
    <xf numFmtId="0" fontId="43" fillId="0" borderId="156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40" xfId="0" applyFont="1" applyBorder="1"/>
    <xf numFmtId="0" fontId="43" fillId="0" borderId="156" xfId="0" applyFont="1" applyBorder="1" applyAlignment="1">
      <alignment vertical="center" wrapText="1"/>
    </xf>
    <xf numFmtId="0" fontId="43" fillId="0" borderId="40" xfId="0" applyFont="1" applyBorder="1" applyAlignment="1">
      <alignment vertical="center" wrapText="1"/>
    </xf>
    <xf numFmtId="0" fontId="43" fillId="0" borderId="35" xfId="0" applyFont="1" applyBorder="1" applyAlignment="1">
      <alignment vertical="center" wrapText="1"/>
    </xf>
    <xf numFmtId="0" fontId="43" fillId="0" borderId="156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43" fillId="0" borderId="35" xfId="0" applyFont="1" applyBorder="1" applyAlignment="1">
      <alignment horizontal="center" vertical="center" wrapText="1"/>
    </xf>
    <xf numFmtId="15" fontId="43" fillId="0" borderId="35" xfId="0" applyNumberFormat="1" applyFont="1" applyBorder="1" applyAlignment="1">
      <alignment horizontal="center" vertical="center" wrapText="1"/>
    </xf>
    <xf numFmtId="43" fontId="43" fillId="0" borderId="156" xfId="1" applyFont="1" applyBorder="1" applyAlignment="1">
      <alignment vertical="center" wrapText="1"/>
    </xf>
    <xf numFmtId="43" fontId="43" fillId="0" borderId="40" xfId="1" applyFont="1" applyBorder="1" applyAlignment="1">
      <alignment vertical="center" wrapText="1"/>
    </xf>
    <xf numFmtId="43" fontId="43" fillId="0" borderId="35" xfId="1" applyFont="1" applyBorder="1" applyAlignment="1">
      <alignment vertical="center" wrapText="1"/>
    </xf>
    <xf numFmtId="0" fontId="44" fillId="0" borderId="10" xfId="0" applyFont="1" applyBorder="1" applyAlignment="1">
      <alignment horizontal="right"/>
    </xf>
    <xf numFmtId="43" fontId="44" fillId="0" borderId="10" xfId="0" applyNumberFormat="1" applyFont="1" applyBorder="1"/>
    <xf numFmtId="43" fontId="44" fillId="0" borderId="10" xfId="1" applyFont="1" applyBorder="1"/>
    <xf numFmtId="43" fontId="16" fillId="0" borderId="10" xfId="1" applyFont="1" applyBorder="1"/>
    <xf numFmtId="0" fontId="15" fillId="0" borderId="10" xfId="0" applyFont="1" applyBorder="1" applyAlignment="1">
      <alignment horizontal="center" vertical="center"/>
    </xf>
    <xf numFmtId="0" fontId="16" fillId="4" borderId="0" xfId="0" applyFont="1" applyFill="1"/>
    <xf numFmtId="49" fontId="7" fillId="4" borderId="10" xfId="0" applyNumberFormat="1" applyFont="1" applyFill="1" applyBorder="1" applyAlignment="1">
      <alignment horizontal="left" vertical="center"/>
    </xf>
    <xf numFmtId="43" fontId="63" fillId="4" borderId="18" xfId="1" applyFont="1" applyFill="1" applyBorder="1"/>
    <xf numFmtId="49" fontId="7" fillId="4" borderId="10" xfId="0" applyNumberFormat="1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72" fillId="32" borderId="10" xfId="0" applyFont="1" applyFill="1" applyBorder="1" applyAlignment="1">
      <alignment vertical="center"/>
    </xf>
    <xf numFmtId="0" fontId="51" fillId="32" borderId="10" xfId="0" applyFont="1" applyFill="1" applyBorder="1"/>
    <xf numFmtId="0" fontId="63" fillId="32" borderId="10" xfId="0" applyFont="1" applyFill="1" applyBorder="1"/>
    <xf numFmtId="43" fontId="51" fillId="32" borderId="10" xfId="1" applyFont="1" applyFill="1" applyBorder="1"/>
    <xf numFmtId="43" fontId="16" fillId="0" borderId="0" xfId="1" applyFont="1"/>
    <xf numFmtId="0" fontId="15" fillId="0" borderId="10" xfId="0" applyFont="1" applyBorder="1" applyAlignment="1">
      <alignment horizontal="center"/>
    </xf>
    <xf numFmtId="43" fontId="15" fillId="0" borderId="10" xfId="1" applyFont="1" applyBorder="1" applyAlignment="1">
      <alignment horizontal="center" vertical="center"/>
    </xf>
    <xf numFmtId="43" fontId="16" fillId="0" borderId="0" xfId="0" applyNumberFormat="1" applyFont="1"/>
    <xf numFmtId="43" fontId="15" fillId="0" borderId="10" xfId="0" applyNumberFormat="1" applyFont="1" applyBorder="1" applyAlignment="1">
      <alignment horizontal="center" vertical="center"/>
    </xf>
    <xf numFmtId="43" fontId="15" fillId="0" borderId="0" xfId="0" applyNumberFormat="1" applyFont="1"/>
    <xf numFmtId="43" fontId="15" fillId="0" borderId="194" xfId="0" applyNumberFormat="1" applyFont="1" applyBorder="1"/>
    <xf numFmtId="43" fontId="63" fillId="4" borderId="6" xfId="1" applyFont="1" applyFill="1" applyBorder="1"/>
    <xf numFmtId="43" fontId="16" fillId="0" borderId="2" xfId="1" applyFont="1" applyBorder="1"/>
    <xf numFmtId="43" fontId="15" fillId="0" borderId="195" xfId="1" applyFont="1" applyBorder="1"/>
    <xf numFmtId="43" fontId="63" fillId="32" borderId="107" xfId="1" applyFont="1" applyFill="1" applyBorder="1"/>
    <xf numFmtId="43" fontId="16" fillId="6" borderId="10" xfId="1" applyFont="1" applyFill="1" applyBorder="1"/>
    <xf numFmtId="43" fontId="50" fillId="32" borderId="10" xfId="1" applyFont="1" applyFill="1" applyBorder="1"/>
    <xf numFmtId="0" fontId="51" fillId="20" borderId="10" xfId="0" applyFont="1" applyFill="1" applyBorder="1"/>
    <xf numFmtId="43" fontId="51" fillId="20" borderId="10" xfId="1" applyFont="1" applyFill="1" applyBorder="1"/>
    <xf numFmtId="43" fontId="16" fillId="20" borderId="10" xfId="1" applyFont="1" applyFill="1" applyBorder="1"/>
    <xf numFmtId="0" fontId="15" fillId="20" borderId="10" xfId="0" applyFont="1" applyFill="1" applyBorder="1" applyAlignment="1">
      <alignment horizontal="center"/>
    </xf>
    <xf numFmtId="43" fontId="15" fillId="20" borderId="10" xfId="0" applyNumberFormat="1" applyFont="1" applyFill="1" applyBorder="1" applyAlignment="1">
      <alignment horizontal="center" vertical="center"/>
    </xf>
    <xf numFmtId="0" fontId="16" fillId="20" borderId="0" xfId="0" applyFont="1" applyFill="1"/>
    <xf numFmtId="0" fontId="15" fillId="20" borderId="10" xfId="0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horizontal="center"/>
    </xf>
    <xf numFmtId="0" fontId="15" fillId="10" borderId="10" xfId="0" applyFont="1" applyFill="1" applyBorder="1" applyAlignment="1">
      <alignment horizontal="center" vertical="center"/>
    </xf>
    <xf numFmtId="43" fontId="16" fillId="10" borderId="10" xfId="1" applyFont="1" applyFill="1" applyBorder="1"/>
    <xf numFmtId="0" fontId="16" fillId="10" borderId="0" xfId="0" applyFont="1" applyFill="1"/>
    <xf numFmtId="43" fontId="16" fillId="10" borderId="2" xfId="1" applyFont="1" applyFill="1" applyBorder="1"/>
    <xf numFmtId="43" fontId="75" fillId="0" borderId="10" xfId="1" applyFont="1" applyBorder="1"/>
    <xf numFmtId="43" fontId="75" fillId="0" borderId="0" xfId="0" applyNumberFormat="1" applyFont="1"/>
    <xf numFmtId="43" fontId="16" fillId="24" borderId="10" xfId="1" applyFont="1" applyFill="1" applyBorder="1"/>
    <xf numFmtId="41" fontId="4" fillId="0" borderId="0" xfId="0" applyNumberFormat="1" applyFont="1"/>
    <xf numFmtId="188" fontId="52" fillId="0" borderId="0" xfId="1" applyNumberFormat="1" applyFont="1" applyAlignment="1">
      <alignment horizontal="right"/>
    </xf>
    <xf numFmtId="41" fontId="3" fillId="0" borderId="0" xfId="0" applyNumberFormat="1" applyFont="1"/>
    <xf numFmtId="41" fontId="8" fillId="0" borderId="0" xfId="0" applyNumberFormat="1" applyFont="1"/>
    <xf numFmtId="41" fontId="5" fillId="0" borderId="0" xfId="0" applyNumberFormat="1" applyFont="1"/>
    <xf numFmtId="188" fontId="3" fillId="6" borderId="0" xfId="0" applyNumberFormat="1" applyFont="1" applyFill="1"/>
    <xf numFmtId="41" fontId="5" fillId="15" borderId="0" xfId="0" applyNumberFormat="1" applyFont="1" applyFill="1" applyAlignment="1">
      <alignment horizontal="center"/>
    </xf>
    <xf numFmtId="41" fontId="8" fillId="15" borderId="0" xfId="0" applyNumberFormat="1" applyFont="1" applyFill="1"/>
    <xf numFmtId="41" fontId="5" fillId="15" borderId="0" xfId="0" applyNumberFormat="1" applyFont="1" applyFill="1"/>
    <xf numFmtId="0" fontId="4" fillId="15" borderId="0" xfId="0" applyFont="1" applyFill="1"/>
    <xf numFmtId="41" fontId="4" fillId="15" borderId="0" xfId="0" applyNumberFormat="1" applyFont="1" applyFill="1"/>
    <xf numFmtId="41" fontId="3" fillId="15" borderId="0" xfId="0" applyNumberFormat="1" applyFont="1" applyFill="1"/>
    <xf numFmtId="41" fontId="5" fillId="9" borderId="0" xfId="0" applyNumberFormat="1" applyFont="1" applyFill="1" applyAlignment="1">
      <alignment horizontal="center"/>
    </xf>
    <xf numFmtId="41" fontId="8" fillId="9" borderId="0" xfId="0" applyNumberFormat="1" applyFont="1" applyFill="1"/>
    <xf numFmtId="41" fontId="5" fillId="9" borderId="0" xfId="0" applyNumberFormat="1" applyFont="1" applyFill="1"/>
    <xf numFmtId="0" fontId="4" fillId="9" borderId="0" xfId="0" applyFont="1" applyFill="1"/>
    <xf numFmtId="41" fontId="4" fillId="9" borderId="0" xfId="0" applyNumberFormat="1" applyFont="1" applyFill="1"/>
    <xf numFmtId="41" fontId="3" fillId="9" borderId="0" xfId="0" applyNumberFormat="1" applyFont="1" applyFill="1"/>
    <xf numFmtId="0" fontId="76" fillId="6" borderId="0" xfId="0" applyFont="1" applyFill="1" applyAlignment="1">
      <alignment horizontal="center"/>
    </xf>
    <xf numFmtId="0" fontId="5" fillId="6" borderId="0" xfId="0" applyFont="1" applyFill="1"/>
    <xf numFmtId="41" fontId="4" fillId="6" borderId="0" xfId="0" applyNumberFormat="1" applyFont="1" applyFill="1"/>
    <xf numFmtId="41" fontId="3" fillId="6" borderId="0" xfId="0" applyNumberFormat="1" applyFont="1" applyFill="1"/>
    <xf numFmtId="0" fontId="43" fillId="0" borderId="4" xfId="0" applyFont="1" applyBorder="1" applyAlignment="1">
      <alignment horizontal="center" vertical="center"/>
    </xf>
    <xf numFmtId="0" fontId="43" fillId="0" borderId="4" xfId="0" applyFont="1" applyBorder="1" applyAlignment="1">
      <alignment vertical="center" wrapText="1"/>
    </xf>
    <xf numFmtId="43" fontId="43" fillId="0" borderId="4" xfId="1" applyFont="1" applyBorder="1" applyAlignment="1">
      <alignment vertical="center" wrapText="1"/>
    </xf>
    <xf numFmtId="0" fontId="43" fillId="0" borderId="4" xfId="0" applyFont="1" applyBorder="1"/>
    <xf numFmtId="0" fontId="43" fillId="0" borderId="50" xfId="0" applyFont="1" applyBorder="1" applyAlignment="1">
      <alignment horizontal="center" vertical="center"/>
    </xf>
    <xf numFmtId="0" fontId="43" fillId="0" borderId="50" xfId="0" applyFont="1" applyBorder="1" applyAlignment="1">
      <alignment vertical="center" wrapText="1"/>
    </xf>
    <xf numFmtId="43" fontId="43" fillId="0" borderId="50" xfId="1" applyFont="1" applyBorder="1" applyAlignment="1">
      <alignment vertical="center" wrapText="1"/>
    </xf>
    <xf numFmtId="0" fontId="43" fillId="0" borderId="50" xfId="0" applyFont="1" applyBorder="1"/>
    <xf numFmtId="0" fontId="44" fillId="0" borderId="4" xfId="0" applyFont="1" applyBorder="1" applyAlignment="1">
      <alignment horizontal="center" vertical="center"/>
    </xf>
    <xf numFmtId="0" fontId="44" fillId="0" borderId="4" xfId="0" applyFont="1" applyBorder="1" applyAlignment="1">
      <alignment horizontal="left" vertical="top"/>
    </xf>
    <xf numFmtId="43" fontId="44" fillId="0" borderId="9" xfId="1" applyFont="1" applyBorder="1" applyAlignment="1">
      <alignment horizontal="center" vertical="center"/>
    </xf>
    <xf numFmtId="0" fontId="44" fillId="0" borderId="0" xfId="0" applyFont="1"/>
    <xf numFmtId="43" fontId="44" fillId="0" borderId="0" xfId="0" applyNumberFormat="1" applyFont="1"/>
    <xf numFmtId="43" fontId="44" fillId="0" borderId="25" xfId="0" applyNumberFormat="1" applyFont="1" applyBorder="1"/>
    <xf numFmtId="200" fontId="43" fillId="0" borderId="0" xfId="0" applyNumberFormat="1" applyFont="1"/>
    <xf numFmtId="41" fontId="72" fillId="40" borderId="75" xfId="1" applyNumberFormat="1" applyFont="1" applyFill="1" applyBorder="1"/>
    <xf numFmtId="41" fontId="58" fillId="40" borderId="40" xfId="1" applyNumberFormat="1" applyFont="1" applyFill="1" applyBorder="1"/>
    <xf numFmtId="41" fontId="58" fillId="40" borderId="35" xfId="1" applyNumberFormat="1" applyFont="1" applyFill="1" applyBorder="1"/>
    <xf numFmtId="41" fontId="58" fillId="40" borderId="158" xfId="1" applyNumberFormat="1" applyFont="1" applyFill="1" applyBorder="1"/>
    <xf numFmtId="41" fontId="58" fillId="40" borderId="123" xfId="1" applyNumberFormat="1" applyFont="1" applyFill="1" applyBorder="1"/>
    <xf numFmtId="41" fontId="58" fillId="40" borderId="50" xfId="1" applyNumberFormat="1" applyFont="1" applyFill="1" applyBorder="1"/>
    <xf numFmtId="0" fontId="63" fillId="0" borderId="177" xfId="0" applyFont="1" applyBorder="1" applyAlignment="1">
      <alignment horizontal="left"/>
    </xf>
    <xf numFmtId="0" fontId="63" fillId="0" borderId="177" xfId="0" applyFont="1" applyBorder="1" applyAlignment="1">
      <alignment horizontal="center"/>
    </xf>
    <xf numFmtId="0" fontId="63" fillId="0" borderId="171" xfId="0" applyFont="1" applyBorder="1" applyAlignment="1">
      <alignment horizontal="center"/>
    </xf>
    <xf numFmtId="194" fontId="63" fillId="0" borderId="139" xfId="1" applyNumberFormat="1" applyFont="1" applyFill="1" applyBorder="1" applyAlignment="1">
      <alignment horizontal="center" wrapText="1"/>
    </xf>
    <xf numFmtId="194" fontId="63" fillId="0" borderId="139" xfId="1" applyNumberFormat="1" applyFont="1" applyFill="1" applyBorder="1" applyAlignment="1">
      <alignment horizontal="center"/>
    </xf>
    <xf numFmtId="194" fontId="63" fillId="0" borderId="136" xfId="1" applyNumberFormat="1" applyFont="1" applyFill="1" applyBorder="1" applyAlignment="1">
      <alignment horizontal="center"/>
    </xf>
    <xf numFmtId="188" fontId="51" fillId="0" borderId="0" xfId="1" applyNumberFormat="1" applyFont="1" applyFill="1" applyAlignment="1"/>
    <xf numFmtId="41" fontId="4" fillId="7" borderId="35" xfId="1" applyNumberFormat="1" applyFont="1" applyFill="1" applyBorder="1"/>
    <xf numFmtId="188" fontId="77" fillId="0" borderId="0" xfId="0" applyNumberFormat="1" applyFont="1" applyAlignment="1">
      <alignment horizontal="center" vertical="center"/>
    </xf>
    <xf numFmtId="41" fontId="72" fillId="40" borderId="35" xfId="1" applyNumberFormat="1" applyFont="1" applyFill="1" applyBorder="1"/>
    <xf numFmtId="194" fontId="63" fillId="0" borderId="0" xfId="1" applyNumberFormat="1" applyFont="1" applyFill="1" applyBorder="1" applyAlignment="1">
      <alignment horizontal="center"/>
    </xf>
    <xf numFmtId="41" fontId="72" fillId="32" borderId="0" xfId="1" applyNumberFormat="1" applyFont="1" applyFill="1" applyBorder="1"/>
    <xf numFmtId="41" fontId="63" fillId="32" borderId="0" xfId="1" applyNumberFormat="1" applyFont="1" applyFill="1" applyBorder="1"/>
    <xf numFmtId="41" fontId="72" fillId="36" borderId="0" xfId="1" applyNumberFormat="1" applyFont="1" applyFill="1" applyBorder="1"/>
    <xf numFmtId="41" fontId="63" fillId="15" borderId="0" xfId="1" applyNumberFormat="1" applyFont="1" applyFill="1" applyBorder="1"/>
    <xf numFmtId="41" fontId="63" fillId="36" borderId="0" xfId="1" applyNumberFormat="1" applyFont="1" applyFill="1" applyBorder="1"/>
    <xf numFmtId="41" fontId="63" fillId="20" borderId="0" xfId="1" applyNumberFormat="1" applyFont="1" applyFill="1" applyBorder="1"/>
    <xf numFmtId="41" fontId="63" fillId="0" borderId="0" xfId="1" applyNumberFormat="1" applyFont="1" applyBorder="1"/>
    <xf numFmtId="41" fontId="72" fillId="10" borderId="0" xfId="1" applyNumberFormat="1" applyFont="1" applyFill="1" applyBorder="1"/>
    <xf numFmtId="41" fontId="63" fillId="10" borderId="0" xfId="1" applyNumberFormat="1" applyFont="1" applyFill="1" applyBorder="1"/>
    <xf numFmtId="41" fontId="63" fillId="11" borderId="0" xfId="1" applyNumberFormat="1" applyFont="1" applyFill="1" applyBorder="1"/>
    <xf numFmtId="41" fontId="51" fillId="11" borderId="0" xfId="1" applyNumberFormat="1" applyFont="1" applyFill="1" applyBorder="1"/>
    <xf numFmtId="41" fontId="50" fillId="14" borderId="40" xfId="1" applyNumberFormat="1" applyFont="1" applyFill="1" applyBorder="1"/>
    <xf numFmtId="41" fontId="50" fillId="28" borderId="40" xfId="1" applyNumberFormat="1" applyFont="1" applyFill="1" applyBorder="1"/>
    <xf numFmtId="0" fontId="4" fillId="32" borderId="43" xfId="0" applyFont="1" applyFill="1" applyBorder="1"/>
    <xf numFmtId="188" fontId="3" fillId="32" borderId="60" xfId="1" applyNumberFormat="1" applyFont="1" applyFill="1" applyBorder="1"/>
    <xf numFmtId="188" fontId="3" fillId="32" borderId="42" xfId="1" applyNumberFormat="1" applyFont="1" applyFill="1" applyBorder="1"/>
    <xf numFmtId="41" fontId="4" fillId="32" borderId="35" xfId="1" applyNumberFormat="1" applyFont="1" applyFill="1" applyBorder="1"/>
    <xf numFmtId="41" fontId="4" fillId="32" borderId="4" xfId="1" applyNumberFormat="1" applyFont="1" applyFill="1" applyBorder="1"/>
    <xf numFmtId="41" fontId="3" fillId="22" borderId="40" xfId="1" applyNumberFormat="1" applyFont="1" applyFill="1" applyBorder="1"/>
    <xf numFmtId="41" fontId="3" fillId="18" borderId="40" xfId="1" applyNumberFormat="1" applyFont="1" applyFill="1" applyBorder="1"/>
    <xf numFmtId="41" fontId="3" fillId="9" borderId="40" xfId="1" applyNumberFormat="1" applyFont="1" applyFill="1" applyBorder="1"/>
    <xf numFmtId="41" fontId="16" fillId="15" borderId="35" xfId="1" applyNumberFormat="1" applyFont="1" applyFill="1" applyBorder="1"/>
    <xf numFmtId="41" fontId="16" fillId="40" borderId="35" xfId="1" applyNumberFormat="1" applyFont="1" applyFill="1" applyBorder="1"/>
    <xf numFmtId="41" fontId="3" fillId="32" borderId="40" xfId="1" applyNumberFormat="1" applyFont="1" applyFill="1" applyBorder="1"/>
    <xf numFmtId="0" fontId="78" fillId="0" borderId="0" xfId="0" applyFont="1" applyAlignment="1">
      <alignment horizontal="center" vertical="center"/>
    </xf>
    <xf numFmtId="188" fontId="3" fillId="0" borderId="0" xfId="1" applyNumberFormat="1" applyFont="1" applyAlignment="1">
      <alignment horizontal="center" vertical="center"/>
    </xf>
    <xf numFmtId="188" fontId="3" fillId="6" borderId="0" xfId="0" applyNumberFormat="1" applyFont="1" applyFill="1" applyAlignment="1">
      <alignment horizontal="center" vertical="center"/>
    </xf>
    <xf numFmtId="41" fontId="3" fillId="6" borderId="0" xfId="0" applyNumberFormat="1" applyFont="1" applyFill="1" applyAlignment="1">
      <alignment horizontal="center" vertical="center"/>
    </xf>
    <xf numFmtId="188" fontId="3" fillId="29" borderId="0" xfId="0" applyNumberFormat="1" applyFont="1" applyFill="1" applyAlignment="1">
      <alignment horizontal="center" vertical="center"/>
    </xf>
    <xf numFmtId="188" fontId="3" fillId="14" borderId="107" xfId="1" applyNumberFormat="1" applyFont="1" applyFill="1" applyBorder="1" applyAlignment="1">
      <alignment horizontal="center" vertical="center" wrapText="1"/>
    </xf>
    <xf numFmtId="194" fontId="3" fillId="28" borderId="107" xfId="1" applyNumberFormat="1" applyFont="1" applyFill="1" applyBorder="1" applyAlignment="1">
      <alignment horizontal="center" vertical="center" wrapText="1"/>
    </xf>
    <xf numFmtId="188" fontId="3" fillId="22" borderId="107" xfId="1" applyNumberFormat="1" applyFont="1" applyFill="1" applyBorder="1" applyAlignment="1">
      <alignment horizontal="center" vertical="center" wrapText="1"/>
    </xf>
    <xf numFmtId="188" fontId="3" fillId="18" borderId="107" xfId="1" applyNumberFormat="1" applyFont="1" applyFill="1" applyBorder="1" applyAlignment="1">
      <alignment horizontal="center" vertical="center" wrapText="1"/>
    </xf>
    <xf numFmtId="188" fontId="3" fillId="9" borderId="107" xfId="1" applyNumberFormat="1" applyFont="1" applyFill="1" applyBorder="1" applyAlignment="1">
      <alignment horizontal="center" vertical="center"/>
    </xf>
    <xf numFmtId="188" fontId="3" fillId="28" borderId="107" xfId="1" applyNumberFormat="1" applyFont="1" applyFill="1" applyBorder="1" applyAlignment="1">
      <alignment horizontal="center" vertical="center" wrapText="1"/>
    </xf>
    <xf numFmtId="194" fontId="3" fillId="14" borderId="107" xfId="1" applyNumberFormat="1" applyFont="1" applyFill="1" applyBorder="1" applyAlignment="1">
      <alignment horizontal="center" vertical="center" wrapText="1"/>
    </xf>
    <xf numFmtId="188" fontId="15" fillId="0" borderId="136" xfId="1" applyNumberFormat="1" applyFont="1" applyFill="1" applyBorder="1" applyAlignment="1"/>
    <xf numFmtId="188" fontId="3" fillId="32" borderId="138" xfId="1" applyNumberFormat="1" applyFont="1" applyFill="1" applyBorder="1" applyAlignment="1">
      <alignment horizontal="center" wrapText="1"/>
    </xf>
    <xf numFmtId="188" fontId="3" fillId="0" borderId="139" xfId="1" applyNumberFormat="1" applyFont="1" applyFill="1" applyBorder="1" applyAlignment="1">
      <alignment horizontal="center" wrapText="1"/>
    </xf>
    <xf numFmtId="41" fontId="3" fillId="0" borderId="139" xfId="1" applyNumberFormat="1" applyFont="1" applyFill="1" applyBorder="1" applyAlignment="1">
      <alignment horizontal="center" wrapText="1"/>
    </xf>
    <xf numFmtId="188" fontId="3" fillId="9" borderId="139" xfId="1" applyNumberFormat="1" applyFont="1" applyFill="1" applyBorder="1" applyAlignment="1">
      <alignment horizontal="center" wrapText="1"/>
    </xf>
    <xf numFmtId="188" fontId="3" fillId="0" borderId="171" xfId="1" applyNumberFormat="1" applyFont="1" applyFill="1" applyBorder="1" applyAlignment="1">
      <alignment horizontal="center" wrapText="1"/>
    </xf>
    <xf numFmtId="188" fontId="3" fillId="7" borderId="139" xfId="1" applyNumberFormat="1" applyFont="1" applyFill="1" applyBorder="1" applyAlignment="1">
      <alignment horizontal="center" wrapText="1"/>
    </xf>
    <xf numFmtId="194" fontId="3" fillId="0" borderId="139" xfId="1" applyNumberFormat="1" applyFont="1" applyFill="1" applyBorder="1" applyAlignment="1">
      <alignment horizontal="center" wrapText="1"/>
    </xf>
    <xf numFmtId="188" fontId="3" fillId="0" borderId="139" xfId="1" applyNumberFormat="1" applyFont="1" applyFill="1" applyBorder="1" applyAlignment="1">
      <alignment horizontal="center"/>
    </xf>
    <xf numFmtId="188" fontId="15" fillId="32" borderId="77" xfId="1" applyNumberFormat="1" applyFont="1" applyFill="1" applyBorder="1"/>
    <xf numFmtId="188" fontId="15" fillId="36" borderId="75" xfId="1" applyNumberFormat="1" applyFont="1" applyFill="1" applyBorder="1"/>
    <xf numFmtId="41" fontId="15" fillId="32" borderId="75" xfId="1" applyNumberFormat="1" applyFont="1" applyFill="1" applyBorder="1"/>
    <xf numFmtId="41" fontId="15" fillId="7" borderId="75" xfId="1" applyNumberFormat="1" applyFont="1" applyFill="1" applyBorder="1"/>
    <xf numFmtId="41" fontId="15" fillId="14" borderId="75" xfId="1" applyNumberFormat="1" applyFont="1" applyFill="1" applyBorder="1"/>
    <xf numFmtId="41" fontId="15" fillId="28" borderId="75" xfId="1" applyNumberFormat="1" applyFont="1" applyFill="1" applyBorder="1"/>
    <xf numFmtId="41" fontId="15" fillId="22" borderId="75" xfId="1" applyNumberFormat="1" applyFont="1" applyFill="1" applyBorder="1"/>
    <xf numFmtId="41" fontId="15" fillId="18" borderId="75" xfId="1" applyNumberFormat="1" applyFont="1" applyFill="1" applyBorder="1"/>
    <xf numFmtId="41" fontId="15" fillId="9" borderId="75" xfId="1" applyNumberFormat="1" applyFont="1" applyFill="1" applyBorder="1"/>
    <xf numFmtId="188" fontId="3" fillId="32" borderId="63" xfId="1" applyNumberFormat="1" applyFont="1" applyFill="1" applyBorder="1"/>
    <xf numFmtId="188" fontId="4" fillId="36" borderId="40" xfId="1" applyNumberFormat="1" applyFont="1" applyFill="1" applyBorder="1"/>
    <xf numFmtId="41" fontId="4" fillId="9" borderId="4" xfId="1" applyNumberFormat="1" applyFont="1" applyFill="1" applyBorder="1"/>
    <xf numFmtId="41" fontId="4" fillId="7" borderId="4" xfId="1" applyNumberFormat="1" applyFont="1" applyFill="1" applyBorder="1"/>
    <xf numFmtId="41" fontId="4" fillId="14" borderId="40" xfId="1" applyNumberFormat="1" applyFont="1" applyFill="1" applyBorder="1"/>
    <xf numFmtId="41" fontId="4" fillId="28" borderId="40" xfId="1" applyNumberFormat="1" applyFont="1" applyFill="1" applyBorder="1"/>
    <xf numFmtId="188" fontId="19" fillId="32" borderId="54" xfId="1" applyNumberFormat="1" applyFont="1" applyFill="1" applyBorder="1"/>
    <xf numFmtId="41" fontId="3" fillId="32" borderId="50" xfId="1" applyNumberFormat="1" applyFont="1" applyFill="1" applyBorder="1"/>
    <xf numFmtId="41" fontId="3" fillId="7" borderId="50" xfId="1" applyNumberFormat="1" applyFont="1" applyFill="1" applyBorder="1"/>
    <xf numFmtId="41" fontId="3" fillId="14" borderId="50" xfId="1" applyNumberFormat="1" applyFont="1" applyFill="1" applyBorder="1"/>
    <xf numFmtId="41" fontId="3" fillId="28" borderId="50" xfId="1" applyNumberFormat="1" applyFont="1" applyFill="1" applyBorder="1"/>
    <xf numFmtId="41" fontId="3" fillId="22" borderId="50" xfId="1" applyNumberFormat="1" applyFont="1" applyFill="1" applyBorder="1"/>
    <xf numFmtId="41" fontId="3" fillId="18" borderId="50" xfId="1" applyNumberFormat="1" applyFont="1" applyFill="1" applyBorder="1"/>
    <xf numFmtId="41" fontId="3" fillId="9" borderId="50" xfId="1" applyNumberFormat="1" applyFont="1" applyFill="1" applyBorder="1"/>
    <xf numFmtId="188" fontId="3" fillId="32" borderId="39" xfId="1" applyNumberFormat="1" applyFont="1" applyFill="1" applyBorder="1"/>
    <xf numFmtId="41" fontId="4" fillId="32" borderId="40" xfId="1" applyNumberFormat="1" applyFont="1" applyFill="1" applyBorder="1"/>
    <xf numFmtId="41" fontId="4" fillId="7" borderId="40" xfId="1" applyNumberFormat="1" applyFont="1" applyFill="1" applyBorder="1"/>
    <xf numFmtId="188" fontId="15" fillId="15" borderId="54" xfId="1" applyNumberFormat="1" applyFont="1" applyFill="1" applyBorder="1"/>
    <xf numFmtId="188" fontId="15" fillId="15" borderId="53" xfId="1" applyNumberFormat="1" applyFont="1" applyFill="1" applyBorder="1"/>
    <xf numFmtId="188" fontId="15" fillId="36" borderId="50" xfId="1" applyNumberFormat="1" applyFont="1" applyFill="1" applyBorder="1"/>
    <xf numFmtId="41" fontId="15" fillId="36" borderId="50" xfId="1" applyNumberFormat="1" applyFont="1" applyFill="1" applyBorder="1"/>
    <xf numFmtId="41" fontId="15" fillId="9" borderId="50" xfId="1" applyNumberFormat="1" applyFont="1" applyFill="1" applyBorder="1"/>
    <xf numFmtId="41" fontId="15" fillId="7" borderId="50" xfId="1" applyNumberFormat="1" applyFont="1" applyFill="1" applyBorder="1"/>
    <xf numFmtId="41" fontId="15" fillId="22" borderId="50" xfId="1" applyNumberFormat="1" applyFont="1" applyFill="1" applyBorder="1"/>
    <xf numFmtId="41" fontId="15" fillId="18" borderId="50" xfId="1" applyNumberFormat="1" applyFont="1" applyFill="1" applyBorder="1"/>
    <xf numFmtId="188" fontId="3" fillId="15" borderId="41" xfId="1" applyNumberFormat="1" applyFont="1" applyFill="1" applyBorder="1"/>
    <xf numFmtId="188" fontId="3" fillId="15" borderId="63" xfId="1" applyNumberFormat="1" applyFont="1" applyFill="1" applyBorder="1"/>
    <xf numFmtId="41" fontId="4" fillId="15" borderId="40" xfId="1" applyNumberFormat="1" applyFont="1" applyFill="1" applyBorder="1"/>
    <xf numFmtId="41" fontId="4" fillId="9" borderId="40" xfId="1" applyNumberFormat="1" applyFont="1" applyFill="1" applyBorder="1"/>
    <xf numFmtId="41" fontId="3" fillId="15" borderId="40" xfId="1" applyNumberFormat="1" applyFont="1" applyFill="1" applyBorder="1"/>
    <xf numFmtId="188" fontId="19" fillId="15" borderId="102" xfId="1" applyNumberFormat="1" applyFont="1" applyFill="1" applyBorder="1"/>
    <xf numFmtId="188" fontId="19" fillId="15" borderId="7" xfId="1" applyNumberFormat="1" applyFont="1" applyFill="1" applyBorder="1"/>
    <xf numFmtId="188" fontId="3" fillId="36" borderId="1" xfId="1" applyNumberFormat="1" applyFont="1" applyFill="1" applyBorder="1"/>
    <xf numFmtId="41" fontId="3" fillId="36" borderId="1" xfId="1" applyNumberFormat="1" applyFont="1" applyFill="1" applyBorder="1"/>
    <xf numFmtId="41" fontId="3" fillId="9" borderId="1" xfId="1" applyNumberFormat="1" applyFont="1" applyFill="1" applyBorder="1"/>
    <xf numFmtId="41" fontId="3" fillId="7" borderId="1" xfId="1" applyNumberFormat="1" applyFont="1" applyFill="1" applyBorder="1"/>
    <xf numFmtId="41" fontId="4" fillId="36" borderId="1" xfId="1" applyNumberFormat="1" applyFont="1" applyFill="1" applyBorder="1"/>
    <xf numFmtId="41" fontId="4" fillId="22" borderId="1" xfId="1" applyNumberFormat="1" applyFont="1" applyFill="1" applyBorder="1"/>
    <xf numFmtId="41" fontId="4" fillId="18" borderId="1" xfId="1" applyNumberFormat="1" applyFont="1" applyFill="1" applyBorder="1"/>
    <xf numFmtId="188" fontId="4" fillId="36" borderId="156" xfId="1" applyNumberFormat="1" applyFont="1" applyFill="1" applyBorder="1"/>
    <xf numFmtId="41" fontId="4" fillId="4" borderId="156" xfId="1" applyNumberFormat="1" applyFont="1" applyFill="1" applyBorder="1"/>
    <xf numFmtId="41" fontId="4" fillId="9" borderId="156" xfId="1" applyNumberFormat="1" applyFont="1" applyFill="1" applyBorder="1"/>
    <xf numFmtId="41" fontId="4" fillId="7" borderId="156" xfId="1" applyNumberFormat="1" applyFont="1" applyFill="1" applyBorder="1"/>
    <xf numFmtId="41" fontId="4" fillId="14" borderId="156" xfId="1" applyNumberFormat="1" applyFont="1" applyFill="1" applyBorder="1"/>
    <xf numFmtId="41" fontId="4" fillId="28" borderId="156" xfId="1" applyNumberFormat="1" applyFont="1" applyFill="1" applyBorder="1"/>
    <xf numFmtId="41" fontId="4" fillId="22" borderId="156" xfId="1" applyNumberFormat="1" applyFont="1" applyFill="1" applyBorder="1"/>
    <xf numFmtId="41" fontId="4" fillId="18" borderId="156" xfId="1" applyNumberFormat="1" applyFont="1" applyFill="1" applyBorder="1"/>
    <xf numFmtId="41" fontId="4" fillId="36" borderId="156" xfId="1" applyNumberFormat="1" applyFont="1" applyFill="1" applyBorder="1"/>
    <xf numFmtId="41" fontId="4" fillId="22" borderId="35" xfId="1" applyNumberFormat="1" applyFont="1" applyFill="1" applyBorder="1"/>
    <xf numFmtId="41" fontId="4" fillId="18" borderId="35" xfId="1" applyNumberFormat="1" applyFont="1" applyFill="1" applyBorder="1"/>
    <xf numFmtId="41" fontId="4" fillId="36" borderId="35" xfId="1" applyNumberFormat="1" applyFont="1" applyFill="1" applyBorder="1"/>
    <xf numFmtId="41" fontId="4" fillId="0" borderId="35" xfId="1" applyNumberFormat="1" applyFont="1" applyBorder="1"/>
    <xf numFmtId="188" fontId="4" fillId="20" borderId="44" xfId="1" applyNumberFormat="1" applyFont="1" applyFill="1" applyBorder="1"/>
    <xf numFmtId="188" fontId="4" fillId="20" borderId="43" xfId="1" applyNumberFormat="1" applyFont="1" applyFill="1" applyBorder="1"/>
    <xf numFmtId="41" fontId="4" fillId="20" borderId="35" xfId="1" applyNumberFormat="1" applyFont="1" applyFill="1" applyBorder="1"/>
    <xf numFmtId="188" fontId="15" fillId="10" borderId="54" xfId="1" applyNumberFormat="1" applyFont="1" applyFill="1" applyBorder="1"/>
    <xf numFmtId="188" fontId="15" fillId="10" borderId="53" xfId="1" applyNumberFormat="1" applyFont="1" applyFill="1" applyBorder="1"/>
    <xf numFmtId="41" fontId="16" fillId="10" borderId="50" xfId="1" applyNumberFormat="1" applyFont="1" applyFill="1" applyBorder="1"/>
    <xf numFmtId="41" fontId="16" fillId="9" borderId="50" xfId="1" applyNumberFormat="1" applyFont="1" applyFill="1" applyBorder="1"/>
    <xf numFmtId="41" fontId="16" fillId="7" borderId="50" xfId="1" applyNumberFormat="1" applyFont="1" applyFill="1" applyBorder="1"/>
    <xf numFmtId="41" fontId="15" fillId="10" borderId="50" xfId="1" applyNumberFormat="1" applyFont="1" applyFill="1" applyBorder="1"/>
    <xf numFmtId="188" fontId="15" fillId="10" borderId="22" xfId="1" applyNumberFormat="1" applyFont="1" applyFill="1" applyBorder="1"/>
    <xf numFmtId="188" fontId="15" fillId="10" borderId="11" xfId="1" applyNumberFormat="1" applyFont="1" applyFill="1" applyBorder="1"/>
    <xf numFmtId="188" fontId="15" fillId="10" borderId="4" xfId="1" applyNumberFormat="1" applyFont="1" applyFill="1" applyBorder="1"/>
    <xf numFmtId="41" fontId="15" fillId="10" borderId="4" xfId="1" applyNumberFormat="1" applyFont="1" applyFill="1" applyBorder="1"/>
    <xf numFmtId="41" fontId="15" fillId="9" borderId="4" xfId="1" applyNumberFormat="1" applyFont="1" applyFill="1" applyBorder="1"/>
    <xf numFmtId="41" fontId="15" fillId="7" borderId="4" xfId="1" applyNumberFormat="1" applyFont="1" applyFill="1" applyBorder="1"/>
    <xf numFmtId="41" fontId="3" fillId="10" borderId="35" xfId="1" applyNumberFormat="1" applyFont="1" applyFill="1" applyBorder="1"/>
    <xf numFmtId="41" fontId="3" fillId="10" borderId="40" xfId="1" applyNumberFormat="1" applyFont="1" applyFill="1" applyBorder="1"/>
    <xf numFmtId="188" fontId="3" fillId="11" borderId="41" xfId="1" applyNumberFormat="1" applyFont="1" applyFill="1" applyBorder="1"/>
    <xf numFmtId="188" fontId="3" fillId="11" borderId="63" xfId="1" applyNumberFormat="1" applyFont="1" applyFill="1" applyBorder="1"/>
    <xf numFmtId="41" fontId="4" fillId="0" borderId="40" xfId="1" applyNumberFormat="1" applyFont="1" applyBorder="1"/>
    <xf numFmtId="188" fontId="3" fillId="11" borderId="44" xfId="1" applyNumberFormat="1" applyFont="1" applyFill="1" applyBorder="1"/>
    <xf numFmtId="188" fontId="3" fillId="6" borderId="43" xfId="1" applyNumberFormat="1" applyFont="1" applyFill="1" applyBorder="1"/>
    <xf numFmtId="41" fontId="3" fillId="4" borderId="35" xfId="1" applyNumberFormat="1" applyFont="1" applyFill="1" applyBorder="1"/>
    <xf numFmtId="41" fontId="4" fillId="0" borderId="35" xfId="1" applyNumberFormat="1" applyFont="1" applyFill="1" applyBorder="1"/>
    <xf numFmtId="41" fontId="3" fillId="6" borderId="35" xfId="1" applyNumberFormat="1" applyFont="1" applyFill="1" applyBorder="1"/>
    <xf numFmtId="188" fontId="3" fillId="11" borderId="43" xfId="1" applyNumberFormat="1" applyFont="1" applyFill="1" applyBorder="1"/>
    <xf numFmtId="188" fontId="3" fillId="36" borderId="35" xfId="1" applyNumberFormat="1" applyFont="1" applyFill="1" applyBorder="1"/>
    <xf numFmtId="41" fontId="3" fillId="0" borderId="35" xfId="1" applyNumberFormat="1" applyFont="1" applyBorder="1"/>
    <xf numFmtId="41" fontId="3" fillId="0" borderId="35" xfId="1" applyNumberFormat="1" applyFont="1" applyFill="1" applyBorder="1"/>
    <xf numFmtId="41" fontId="3" fillId="7" borderId="35" xfId="1" applyNumberFormat="1" applyFont="1" applyFill="1" applyBorder="1"/>
    <xf numFmtId="41" fontId="3" fillId="14" borderId="35" xfId="1" applyNumberFormat="1" applyFont="1" applyFill="1" applyBorder="1"/>
    <xf numFmtId="41" fontId="3" fillId="28" borderId="35" xfId="1" applyNumberFormat="1" applyFont="1" applyFill="1" applyBorder="1"/>
    <xf numFmtId="188" fontId="6" fillId="11" borderId="44" xfId="1" applyNumberFormat="1" applyFont="1" applyFill="1" applyBorder="1"/>
    <xf numFmtId="188" fontId="6" fillId="11" borderId="43" xfId="1" applyNumberFormat="1" applyFont="1" applyFill="1" applyBorder="1"/>
    <xf numFmtId="188" fontId="4" fillId="11" borderId="44" xfId="1" applyNumberFormat="1" applyFont="1" applyFill="1" applyBorder="1"/>
    <xf numFmtId="188" fontId="4" fillId="11" borderId="43" xfId="1" applyNumberFormat="1" applyFont="1" applyFill="1" applyBorder="1"/>
    <xf numFmtId="188" fontId="4" fillId="11" borderId="157" xfId="1" applyNumberFormat="1" applyFont="1" applyFill="1" applyBorder="1"/>
    <xf numFmtId="188" fontId="4" fillId="36" borderId="158" xfId="1" applyNumberFormat="1" applyFont="1" applyFill="1" applyBorder="1"/>
    <xf numFmtId="188" fontId="15" fillId="3" borderId="123" xfId="1" applyNumberFormat="1" applyFont="1" applyFill="1" applyBorder="1"/>
    <xf numFmtId="188" fontId="15" fillId="3" borderId="125" xfId="1" applyNumberFormat="1" applyFont="1" applyFill="1" applyBorder="1"/>
    <xf numFmtId="188" fontId="15" fillId="36" borderId="123" xfId="1" applyNumberFormat="1" applyFont="1" applyFill="1" applyBorder="1"/>
    <xf numFmtId="41" fontId="15" fillId="3" borderId="123" xfId="1" applyNumberFormat="1" applyFont="1" applyFill="1" applyBorder="1"/>
    <xf numFmtId="188" fontId="15" fillId="3" borderId="0" xfId="1" applyNumberFormat="1" applyFont="1" applyFill="1" applyBorder="1"/>
    <xf numFmtId="41" fontId="15" fillId="3" borderId="0" xfId="1" applyNumberFormat="1" applyFont="1" applyFill="1" applyBorder="1"/>
    <xf numFmtId="41" fontId="4" fillId="0" borderId="0" xfId="1" applyNumberFormat="1" applyFont="1"/>
    <xf numFmtId="194" fontId="4" fillId="0" borderId="0" xfId="1" applyNumberFormat="1" applyFont="1"/>
    <xf numFmtId="199" fontId="4" fillId="0" borderId="0" xfId="1" applyNumberFormat="1" applyFont="1"/>
    <xf numFmtId="194" fontId="4" fillId="6" borderId="0" xfId="1" applyNumberFormat="1" applyFont="1" applyFill="1"/>
    <xf numFmtId="41" fontId="5" fillId="0" borderId="68" xfId="1" applyNumberFormat="1" applyFont="1" applyBorder="1"/>
    <xf numFmtId="41" fontId="5" fillId="0" borderId="0" xfId="1" applyNumberFormat="1" applyFont="1" applyBorder="1"/>
    <xf numFmtId="188" fontId="5" fillId="0" borderId="68" xfId="1" applyNumberFormat="1" applyFont="1" applyBorder="1"/>
    <xf numFmtId="188" fontId="5" fillId="0" borderId="0" xfId="1" applyNumberFormat="1" applyFont="1" applyAlignment="1">
      <alignment vertical="center"/>
    </xf>
    <xf numFmtId="41" fontId="5" fillId="0" borderId="0" xfId="1" applyNumberFormat="1" applyFont="1" applyAlignment="1">
      <alignment vertical="center"/>
    </xf>
    <xf numFmtId="194" fontId="5" fillId="0" borderId="0" xfId="1" applyNumberFormat="1" applyFont="1" applyAlignment="1">
      <alignment vertical="center"/>
    </xf>
    <xf numFmtId="188" fontId="5" fillId="0" borderId="0" xfId="1" applyNumberFormat="1" applyFont="1" applyAlignment="1">
      <alignment horizontal="center" vertical="center"/>
    </xf>
    <xf numFmtId="41" fontId="5" fillId="0" borderId="0" xfId="1" applyNumberFormat="1" applyFont="1"/>
    <xf numFmtId="188" fontId="5" fillId="6" borderId="0" xfId="1" applyNumberFormat="1" applyFont="1" applyFill="1"/>
    <xf numFmtId="188" fontId="8" fillId="0" borderId="68" xfId="1" applyNumberFormat="1" applyFont="1" applyBorder="1"/>
    <xf numFmtId="41" fontId="8" fillId="0" borderId="68" xfId="1" applyNumberFormat="1" applyFont="1" applyBorder="1"/>
    <xf numFmtId="194" fontId="3" fillId="22" borderId="107" xfId="1" applyNumberFormat="1" applyFont="1" applyFill="1" applyBorder="1" applyAlignment="1">
      <alignment horizontal="center" vertical="center" wrapText="1"/>
    </xf>
    <xf numFmtId="194" fontId="3" fillId="18" borderId="107" xfId="1" applyNumberFormat="1" applyFont="1" applyFill="1" applyBorder="1" applyAlignment="1">
      <alignment horizontal="center" vertical="center" wrapText="1"/>
    </xf>
    <xf numFmtId="194" fontId="3" fillId="9" borderId="107" xfId="1" applyNumberFormat="1" applyFont="1" applyFill="1" applyBorder="1" applyAlignment="1">
      <alignment horizontal="center" vertical="center"/>
    </xf>
    <xf numFmtId="194" fontId="3" fillId="0" borderId="139" xfId="1" applyNumberFormat="1" applyFont="1" applyFill="1" applyBorder="1" applyAlignment="1">
      <alignment horizontal="center"/>
    </xf>
    <xf numFmtId="41" fontId="3" fillId="11" borderId="35" xfId="1" applyNumberFormat="1" applyFont="1" applyFill="1" applyBorder="1"/>
    <xf numFmtId="43" fontId="4" fillId="0" borderId="68" xfId="1" applyFont="1" applyBorder="1"/>
    <xf numFmtId="43" fontId="4" fillId="0" borderId="15" xfId="1" applyFont="1" applyBorder="1"/>
    <xf numFmtId="0" fontId="4" fillId="0" borderId="0" xfId="0" applyFont="1" applyAlignment="1">
      <alignment wrapText="1"/>
    </xf>
    <xf numFmtId="41" fontId="3" fillId="32" borderId="0" xfId="1" applyNumberFormat="1" applyFont="1" applyFill="1" applyBorder="1"/>
    <xf numFmtId="41" fontId="3" fillId="33" borderId="40" xfId="1" applyNumberFormat="1" applyFont="1" applyFill="1" applyBorder="1"/>
    <xf numFmtId="194" fontId="63" fillId="3" borderId="0" xfId="1" applyNumberFormat="1" applyFont="1" applyFill="1" applyBorder="1" applyAlignment="1">
      <alignment horizontal="center" vertical="center" wrapText="1"/>
    </xf>
    <xf numFmtId="188" fontId="3" fillId="41" borderId="0" xfId="1" applyNumberFormat="1" applyFont="1" applyFill="1"/>
    <xf numFmtId="188" fontId="79" fillId="8" borderId="1" xfId="1" applyNumberFormat="1" applyFont="1" applyFill="1" applyBorder="1"/>
    <xf numFmtId="188" fontId="51" fillId="8" borderId="4" xfId="1" applyNumberFormat="1" applyFont="1" applyFill="1" applyBorder="1"/>
    <xf numFmtId="188" fontId="51" fillId="8" borderId="1" xfId="1" applyNumberFormat="1" applyFont="1" applyFill="1" applyBorder="1"/>
    <xf numFmtId="188" fontId="51" fillId="5" borderId="1" xfId="1" applyNumberFormat="1" applyFont="1" applyFill="1" applyBorder="1"/>
    <xf numFmtId="188" fontId="51" fillId="5" borderId="4" xfId="1" applyNumberFormat="1" applyFont="1" applyFill="1" applyBorder="1"/>
    <xf numFmtId="0" fontId="80" fillId="0" borderId="0" xfId="0" applyFont="1" applyAlignment="1">
      <alignment horizontal="center"/>
    </xf>
    <xf numFmtId="188" fontId="4" fillId="0" borderId="4" xfId="5" applyNumberFormat="1" applyFont="1" applyBorder="1"/>
    <xf numFmtId="188" fontId="3" fillId="42" borderId="5" xfId="1" applyNumberFormat="1" applyFont="1" applyFill="1" applyBorder="1"/>
    <xf numFmtId="188" fontId="3" fillId="0" borderId="5" xfId="1" applyNumberFormat="1" applyFont="1" applyFill="1" applyBorder="1"/>
    <xf numFmtId="188" fontId="3" fillId="0" borderId="60" xfId="1" applyNumberFormat="1" applyFont="1" applyFill="1" applyBorder="1"/>
    <xf numFmtId="0" fontId="3" fillId="8" borderId="196" xfId="0" applyFont="1" applyFill="1" applyBorder="1" applyAlignment="1">
      <alignment horizontal="center" vertical="center"/>
    </xf>
    <xf numFmtId="188" fontId="3" fillId="8" borderId="197" xfId="0" applyNumberFormat="1" applyFont="1" applyFill="1" applyBorder="1" applyAlignment="1">
      <alignment vertical="center"/>
    </xf>
    <xf numFmtId="188" fontId="3" fillId="8" borderId="198" xfId="0" applyNumberFormat="1" applyFont="1" applyFill="1" applyBorder="1" applyAlignment="1">
      <alignment vertical="center"/>
    </xf>
    <xf numFmtId="188" fontId="3" fillId="8" borderId="199" xfId="0" applyNumberFormat="1" applyFont="1" applyFill="1" applyBorder="1" applyAlignment="1">
      <alignment vertical="center"/>
    </xf>
    <xf numFmtId="43" fontId="3" fillId="8" borderId="197" xfId="0" applyNumberFormat="1" applyFont="1" applyFill="1" applyBorder="1" applyAlignment="1">
      <alignment vertical="center"/>
    </xf>
    <xf numFmtId="43" fontId="3" fillId="8" borderId="200" xfId="0" applyNumberFormat="1" applyFont="1" applyFill="1" applyBorder="1" applyAlignment="1">
      <alignment vertical="center"/>
    </xf>
    <xf numFmtId="188" fontId="3" fillId="20" borderId="198" xfId="1" applyNumberFormat="1" applyFont="1" applyFill="1" applyBorder="1"/>
    <xf numFmtId="0" fontId="7" fillId="8" borderId="149" xfId="0" applyFont="1" applyFill="1" applyBorder="1"/>
    <xf numFmtId="188" fontId="3" fillId="8" borderId="5" xfId="1" applyNumberFormat="1" applyFont="1" applyFill="1" applyBorder="1"/>
    <xf numFmtId="188" fontId="42" fillId="0" borderId="0" xfId="0" applyNumberFormat="1" applyFont="1"/>
    <xf numFmtId="188" fontId="3" fillId="8" borderId="4" xfId="1" applyNumberFormat="1" applyFont="1" applyFill="1" applyBorder="1"/>
    <xf numFmtId="188" fontId="3" fillId="8" borderId="5" xfId="0" applyNumberFormat="1" applyFont="1" applyFill="1" applyBorder="1"/>
    <xf numFmtId="188" fontId="3" fillId="8" borderId="91" xfId="1" applyNumberFormat="1" applyFont="1" applyFill="1" applyBorder="1"/>
    <xf numFmtId="188" fontId="3" fillId="8" borderId="21" xfId="1" applyNumberFormat="1" applyFont="1" applyFill="1" applyBorder="1"/>
    <xf numFmtId="188" fontId="3" fillId="8" borderId="11" xfId="1" applyNumberFormat="1" applyFont="1" applyFill="1" applyBorder="1"/>
    <xf numFmtId="43" fontId="3" fillId="8" borderId="4" xfId="1" applyFont="1" applyFill="1" applyBorder="1"/>
    <xf numFmtId="43" fontId="3" fillId="8" borderId="9" xfId="1" applyFont="1" applyFill="1" applyBorder="1"/>
    <xf numFmtId="188" fontId="3" fillId="0" borderId="21" xfId="1" applyNumberFormat="1" applyFont="1" applyFill="1" applyBorder="1"/>
    <xf numFmtId="188" fontId="3" fillId="0" borderId="11" xfId="1" applyNumberFormat="1" applyFont="1" applyFill="1" applyBorder="1"/>
    <xf numFmtId="43" fontId="3" fillId="0" borderId="4" xfId="1" applyFont="1" applyFill="1" applyBorder="1"/>
    <xf numFmtId="43" fontId="3" fillId="0" borderId="9" xfId="1" applyFont="1" applyFill="1" applyBorder="1"/>
    <xf numFmtId="188" fontId="3" fillId="42" borderId="4" xfId="1" applyNumberFormat="1" applyFont="1" applyFill="1" applyBorder="1"/>
    <xf numFmtId="188" fontId="3" fillId="42" borderId="5" xfId="0" applyNumberFormat="1" applyFont="1" applyFill="1" applyBorder="1"/>
    <xf numFmtId="188" fontId="3" fillId="42" borderId="60" xfId="1" applyNumberFormat="1" applyFont="1" applyFill="1" applyBorder="1"/>
    <xf numFmtId="188" fontId="3" fillId="42" borderId="21" xfId="1" applyNumberFormat="1" applyFont="1" applyFill="1" applyBorder="1"/>
    <xf numFmtId="188" fontId="3" fillId="42" borderId="11" xfId="1" applyNumberFormat="1" applyFont="1" applyFill="1" applyBorder="1"/>
    <xf numFmtId="43" fontId="3" fillId="42" borderId="4" xfId="1" applyFont="1" applyFill="1" applyBorder="1"/>
    <xf numFmtId="43" fontId="3" fillId="42" borderId="9" xfId="1" applyFont="1" applyFill="1" applyBorder="1"/>
    <xf numFmtId="188" fontId="3" fillId="8" borderId="0" xfId="1" applyNumberFormat="1" applyFont="1" applyFill="1" applyBorder="1"/>
    <xf numFmtId="188" fontId="3" fillId="17" borderId="21" xfId="1" applyNumberFormat="1" applyFont="1" applyFill="1" applyBorder="1"/>
    <xf numFmtId="188" fontId="3" fillId="17" borderId="11" xfId="1" applyNumberFormat="1" applyFont="1" applyFill="1" applyBorder="1" applyAlignment="1">
      <alignment horizontal="center"/>
    </xf>
    <xf numFmtId="188" fontId="3" fillId="17" borderId="4" xfId="1" applyNumberFormat="1" applyFont="1" applyFill="1" applyBorder="1" applyAlignment="1"/>
    <xf numFmtId="43" fontId="3" fillId="17" borderId="4" xfId="1" applyFont="1" applyFill="1" applyBorder="1"/>
    <xf numFmtId="43" fontId="3" fillId="17" borderId="9" xfId="1" applyFont="1" applyFill="1" applyBorder="1"/>
    <xf numFmtId="188" fontId="3" fillId="17" borderId="9" xfId="1" applyNumberFormat="1" applyFont="1" applyFill="1" applyBorder="1"/>
    <xf numFmtId="188" fontId="3" fillId="11" borderId="9" xfId="1" applyNumberFormat="1" applyFont="1" applyFill="1" applyBorder="1"/>
    <xf numFmtId="188" fontId="3" fillId="11" borderId="21" xfId="1" applyNumberFormat="1" applyFont="1" applyFill="1" applyBorder="1" applyAlignment="1">
      <alignment horizontal="center"/>
    </xf>
    <xf numFmtId="188" fontId="3" fillId="11" borderId="11" xfId="1" applyNumberFormat="1" applyFont="1" applyFill="1" applyBorder="1" applyAlignment="1">
      <alignment horizontal="center"/>
    </xf>
    <xf numFmtId="188" fontId="3" fillId="11" borderId="4" xfId="1" applyNumberFormat="1" applyFont="1" applyFill="1" applyBorder="1" applyAlignment="1"/>
    <xf numFmtId="43" fontId="3" fillId="11" borderId="9" xfId="1" applyFont="1" applyFill="1" applyBorder="1"/>
    <xf numFmtId="3" fontId="8" fillId="5" borderId="0" xfId="1" applyNumberFormat="1" applyFont="1" applyFill="1" applyBorder="1" applyAlignment="1"/>
    <xf numFmtId="3" fontId="5" fillId="5" borderId="0" xfId="1" applyNumberFormat="1" applyFont="1" applyFill="1" applyBorder="1" applyAlignment="1"/>
    <xf numFmtId="188" fontId="3" fillId="42" borderId="2" xfId="0" applyNumberFormat="1" applyFont="1" applyFill="1" applyBorder="1" applyAlignment="1">
      <alignment horizontal="center"/>
    </xf>
    <xf numFmtId="188" fontId="3" fillId="42" borderId="3" xfId="0" applyNumberFormat="1" applyFont="1" applyFill="1" applyBorder="1" applyAlignment="1">
      <alignment horizontal="center" vertical="top"/>
    </xf>
    <xf numFmtId="188" fontId="3" fillId="42" borderId="202" xfId="0" applyNumberFormat="1" applyFont="1" applyFill="1" applyBorder="1"/>
    <xf numFmtId="188" fontId="3" fillId="42" borderId="86" xfId="0" applyNumberFormat="1" applyFont="1" applyFill="1" applyBorder="1"/>
    <xf numFmtId="188" fontId="3" fillId="42" borderId="11" xfId="0" applyNumberFormat="1" applyFont="1" applyFill="1" applyBorder="1" applyAlignment="1">
      <alignment horizontal="center"/>
    </xf>
    <xf numFmtId="188" fontId="3" fillId="42" borderId="4" xfId="0" applyNumberFormat="1" applyFont="1" applyFill="1" applyBorder="1" applyAlignment="1">
      <alignment horizontal="center"/>
    </xf>
    <xf numFmtId="187" fontId="3" fillId="42" borderId="4" xfId="0" applyNumberFormat="1" applyFont="1" applyFill="1" applyBorder="1" applyAlignment="1">
      <alignment horizontal="center"/>
    </xf>
    <xf numFmtId="187" fontId="3" fillId="42" borderId="9" xfId="0" applyNumberFormat="1" applyFont="1" applyFill="1" applyBorder="1" applyAlignment="1">
      <alignment horizontal="center"/>
    </xf>
    <xf numFmtId="188" fontId="3" fillId="42" borderId="5" xfId="0" applyNumberFormat="1" applyFont="1" applyFill="1" applyBorder="1" applyAlignment="1">
      <alignment horizontal="center" vertical="center" wrapText="1"/>
    </xf>
    <xf numFmtId="188" fontId="3" fillId="5" borderId="4" xfId="1" applyNumberFormat="1" applyFont="1" applyFill="1" applyBorder="1" applyAlignment="1">
      <alignment vertical="center"/>
    </xf>
    <xf numFmtId="43" fontId="3" fillId="5" borderId="4" xfId="1" applyFont="1" applyFill="1" applyBorder="1" applyAlignment="1">
      <alignment vertical="center"/>
    </xf>
    <xf numFmtId="43" fontId="3" fillId="5" borderId="9" xfId="1" applyFont="1" applyFill="1" applyBorder="1" applyAlignment="1">
      <alignment vertical="center"/>
    </xf>
    <xf numFmtId="188" fontId="3" fillId="5" borderId="5" xfId="1" applyNumberFormat="1" applyFont="1" applyFill="1" applyBorder="1" applyAlignment="1">
      <alignment vertical="center"/>
    </xf>
    <xf numFmtId="0" fontId="6" fillId="0" borderId="149" xfId="0" applyFont="1" applyBorder="1" applyAlignment="1">
      <alignment horizontal="center"/>
    </xf>
    <xf numFmtId="188" fontId="81" fillId="0" borderId="4" xfId="1" applyNumberFormat="1" applyFont="1" applyFill="1" applyBorder="1"/>
    <xf numFmtId="188" fontId="81" fillId="0" borderId="9" xfId="1" applyNumberFormat="1" applyFont="1" applyBorder="1"/>
    <xf numFmtId="188" fontId="81" fillId="0" borderId="5" xfId="0" applyNumberFormat="1" applyFont="1" applyBorder="1"/>
    <xf numFmtId="188" fontId="81" fillId="0" borderId="60" xfId="1" applyNumberFormat="1" applyFont="1" applyFill="1" applyBorder="1"/>
    <xf numFmtId="188" fontId="81" fillId="0" borderId="21" xfId="1" applyNumberFormat="1" applyFont="1" applyFill="1" applyBorder="1" applyAlignment="1">
      <alignment horizontal="center"/>
    </xf>
    <xf numFmtId="188" fontId="81" fillId="0" borderId="11" xfId="1" applyNumberFormat="1" applyFont="1" applyBorder="1" applyAlignment="1">
      <alignment horizontal="center"/>
    </xf>
    <xf numFmtId="188" fontId="81" fillId="0" borderId="4" xfId="1" applyNumberFormat="1" applyFont="1" applyBorder="1" applyAlignment="1"/>
    <xf numFmtId="43" fontId="81" fillId="0" borderId="4" xfId="1" applyFont="1" applyBorder="1"/>
    <xf numFmtId="43" fontId="81" fillId="0" borderId="9" xfId="1" applyFont="1" applyBorder="1"/>
    <xf numFmtId="188" fontId="81" fillId="0" borderId="5" xfId="1" applyNumberFormat="1" applyFont="1" applyFill="1" applyBorder="1"/>
    <xf numFmtId="0" fontId="81" fillId="0" borderId="0" xfId="0" applyFont="1"/>
    <xf numFmtId="0" fontId="3" fillId="0" borderId="4" xfId="1" applyNumberFormat="1" applyFont="1" applyBorder="1"/>
    <xf numFmtId="0" fontId="3" fillId="0" borderId="9" xfId="1" applyNumberFormat="1" applyFont="1" applyBorder="1"/>
    <xf numFmtId="188" fontId="81" fillId="0" borderId="91" xfId="1" applyNumberFormat="1" applyFont="1" applyFill="1" applyBorder="1"/>
    <xf numFmtId="188" fontId="81" fillId="0" borderId="4" xfId="1" applyNumberFormat="1" applyFont="1" applyBorder="1" applyAlignment="1">
      <alignment vertical="center"/>
    </xf>
    <xf numFmtId="188" fontId="81" fillId="0" borderId="9" xfId="1" applyNumberFormat="1" applyFont="1" applyBorder="1" applyAlignment="1">
      <alignment vertical="center"/>
    </xf>
    <xf numFmtId="188" fontId="81" fillId="0" borderId="5" xfId="0" applyNumberFormat="1" applyFont="1" applyBorder="1" applyAlignment="1">
      <alignment vertical="center"/>
    </xf>
    <xf numFmtId="188" fontId="81" fillId="0" borderId="91" xfId="1" applyNumberFormat="1" applyFont="1" applyFill="1" applyBorder="1" applyAlignment="1">
      <alignment vertical="center"/>
    </xf>
    <xf numFmtId="188" fontId="81" fillId="0" borderId="21" xfId="1" applyNumberFormat="1" applyFont="1" applyFill="1" applyBorder="1" applyAlignment="1">
      <alignment horizontal="center" vertical="center"/>
    </xf>
    <xf numFmtId="188" fontId="81" fillId="0" borderId="11" xfId="1" applyNumberFormat="1" applyFont="1" applyBorder="1" applyAlignment="1">
      <alignment horizontal="center" vertical="center"/>
    </xf>
    <xf numFmtId="0" fontId="81" fillId="0" borderId="0" xfId="0" applyFont="1" applyAlignment="1">
      <alignment vertical="center"/>
    </xf>
    <xf numFmtId="0" fontId="3" fillId="8" borderId="150" xfId="0" applyFont="1" applyFill="1" applyBorder="1" applyAlignment="1">
      <alignment horizontal="center" vertical="center"/>
    </xf>
    <xf numFmtId="0" fontId="3" fillId="8" borderId="151" xfId="0" applyFont="1" applyFill="1" applyBorder="1" applyAlignment="1">
      <alignment horizontal="center" vertical="center"/>
    </xf>
    <xf numFmtId="188" fontId="7" fillId="42" borderId="201" xfId="1" applyNumberFormat="1" applyFont="1" applyFill="1" applyBorder="1" applyAlignment="1">
      <alignment horizontal="center"/>
    </xf>
    <xf numFmtId="188" fontId="7" fillId="0" borderId="149" xfId="1" applyNumberFormat="1" applyFont="1" applyFill="1" applyBorder="1"/>
    <xf numFmtId="188" fontId="7" fillId="42" borderId="149" xfId="1" applyNumberFormat="1" applyFont="1" applyFill="1" applyBorder="1" applyAlignment="1">
      <alignment horizontal="center"/>
    </xf>
    <xf numFmtId="0" fontId="7" fillId="0" borderId="149" xfId="0" applyFont="1" applyBorder="1"/>
    <xf numFmtId="0" fontId="7" fillId="0" borderId="149" xfId="0" applyFont="1" applyBorder="1" applyAlignment="1">
      <alignment vertical="center" wrapText="1"/>
    </xf>
    <xf numFmtId="0" fontId="42" fillId="0" borderId="149" xfId="0" applyFont="1" applyBorder="1" applyAlignment="1">
      <alignment vertical="center" wrapText="1"/>
    </xf>
    <xf numFmtId="15" fontId="8" fillId="0" borderId="199" xfId="0" applyNumberFormat="1" applyFont="1" applyBorder="1" applyAlignment="1">
      <alignment horizontal="right" vertical="center"/>
    </xf>
    <xf numFmtId="193" fontId="3" fillId="0" borderId="4" xfId="1" applyNumberFormat="1" applyFont="1" applyFill="1" applyBorder="1"/>
    <xf numFmtId="0" fontId="26" fillId="0" borderId="9" xfId="0" applyFont="1" applyBorder="1" applyAlignment="1">
      <alignment shrinkToFit="1"/>
    </xf>
    <xf numFmtId="0" fontId="6" fillId="0" borderId="9" xfId="0" applyFont="1" applyBorder="1" applyAlignment="1">
      <alignment horizontal="left"/>
    </xf>
    <xf numFmtId="43" fontId="5" fillId="0" borderId="67" xfId="1" applyFont="1" applyFill="1" applyBorder="1"/>
    <xf numFmtId="43" fontId="5" fillId="0" borderId="1" xfId="1" applyFont="1" applyFill="1" applyBorder="1"/>
    <xf numFmtId="43" fontId="8" fillId="0" borderId="11" xfId="1" applyFont="1" applyFill="1" applyBorder="1"/>
    <xf numFmtId="43" fontId="8" fillId="0" borderId="6" xfId="1" applyFont="1" applyFill="1" applyBorder="1"/>
    <xf numFmtId="43" fontId="5" fillId="0" borderId="149" xfId="0" applyNumberFormat="1" applyFont="1" applyBorder="1"/>
    <xf numFmtId="43" fontId="5" fillId="0" borderId="4" xfId="0" applyNumberFormat="1" applyFont="1" applyBorder="1"/>
    <xf numFmtId="43" fontId="5" fillId="0" borderId="4" xfId="1" applyFont="1" applyFill="1" applyBorder="1"/>
    <xf numFmtId="43" fontId="5" fillId="0" borderId="149" xfId="1" applyFont="1" applyFill="1" applyBorder="1"/>
    <xf numFmtId="43" fontId="5" fillId="0" borderId="0" xfId="1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horizontal="center" vertical="center"/>
    </xf>
    <xf numFmtId="43" fontId="8" fillId="0" borderId="0" xfId="0" applyNumberFormat="1" applyFont="1" applyAlignment="1">
      <alignment vertical="center"/>
    </xf>
    <xf numFmtId="43" fontId="5" fillId="0" borderId="10" xfId="0" applyNumberFormat="1" applyFont="1" applyBorder="1" applyAlignment="1">
      <alignment horizontal="center"/>
    </xf>
    <xf numFmtId="43" fontId="5" fillId="0" borderId="2" xfId="1" applyFont="1" applyFill="1" applyBorder="1"/>
    <xf numFmtId="43" fontId="8" fillId="0" borderId="0" xfId="1" applyFont="1" applyFill="1" applyBorder="1"/>
    <xf numFmtId="43" fontId="5" fillId="0" borderId="10" xfId="1" applyFont="1" applyFill="1" applyBorder="1"/>
    <xf numFmtId="43" fontId="5" fillId="0" borderId="8" xfId="1" applyFont="1" applyFill="1" applyBorder="1"/>
    <xf numFmtId="43" fontId="8" fillId="0" borderId="5" xfId="1" applyFont="1" applyFill="1" applyBorder="1"/>
    <xf numFmtId="43" fontId="5" fillId="0" borderId="5" xfId="1" applyFont="1" applyFill="1" applyBorder="1"/>
    <xf numFmtId="43" fontId="5" fillId="0" borderId="5" xfId="1" applyFont="1" applyFill="1" applyBorder="1" applyAlignment="1">
      <alignment horizontal="center" vertical="center"/>
    </xf>
    <xf numFmtId="195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/>
    </xf>
    <xf numFmtId="188" fontId="8" fillId="0" borderId="0" xfId="1" applyNumberFormat="1" applyFont="1" applyFill="1" applyBorder="1" applyAlignment="1">
      <alignment horizontal="center"/>
    </xf>
    <xf numFmtId="188" fontId="5" fillId="5" borderId="149" xfId="1" applyNumberFormat="1" applyFont="1" applyFill="1" applyBorder="1" applyAlignment="1">
      <alignment vertical="center" wrapText="1"/>
    </xf>
    <xf numFmtId="188" fontId="3" fillId="5" borderId="11" xfId="1" applyNumberFormat="1" applyFont="1" applyFill="1" applyBorder="1" applyAlignment="1">
      <alignment vertical="center"/>
    </xf>
    <xf numFmtId="188" fontId="3" fillId="5" borderId="21" xfId="1" applyNumberFormat="1" applyFont="1" applyFill="1" applyBorder="1" applyAlignment="1">
      <alignment vertical="center"/>
    </xf>
    <xf numFmtId="188" fontId="4" fillId="0" borderId="0" xfId="0" applyNumberFormat="1" applyFont="1" applyAlignment="1">
      <alignment vertical="center"/>
    </xf>
    <xf numFmtId="43" fontId="81" fillId="0" borderId="4" xfId="1" applyFont="1" applyBorder="1" applyAlignment="1">
      <alignment vertical="center"/>
    </xf>
    <xf numFmtId="43" fontId="81" fillId="0" borderId="9" xfId="1" applyFont="1" applyBorder="1" applyAlignment="1">
      <alignment vertical="center"/>
    </xf>
    <xf numFmtId="188" fontId="3" fillId="0" borderId="5" xfId="1" applyNumberFormat="1" applyFont="1" applyFill="1" applyBorder="1" applyAlignment="1">
      <alignment vertical="center"/>
    </xf>
    <xf numFmtId="188" fontId="81" fillId="0" borderId="4" xfId="1" applyNumberFormat="1" applyFont="1" applyFill="1" applyBorder="1" applyAlignment="1">
      <alignment vertical="center"/>
    </xf>
    <xf numFmtId="0" fontId="80" fillId="5" borderId="149" xfId="0" applyFont="1" applyFill="1" applyBorder="1" applyAlignment="1">
      <alignment vertical="center" wrapText="1"/>
    </xf>
    <xf numFmtId="188" fontId="81" fillId="5" borderId="4" xfId="1" applyNumberFormat="1" applyFont="1" applyFill="1" applyBorder="1" applyAlignment="1">
      <alignment vertical="center"/>
    </xf>
    <xf numFmtId="188" fontId="81" fillId="5" borderId="9" xfId="1" applyNumberFormat="1" applyFont="1" applyFill="1" applyBorder="1" applyAlignment="1">
      <alignment vertical="center"/>
    </xf>
    <xf numFmtId="188" fontId="81" fillId="5" borderId="5" xfId="0" applyNumberFormat="1" applyFont="1" applyFill="1" applyBorder="1" applyAlignment="1">
      <alignment vertical="center"/>
    </xf>
    <xf numFmtId="188" fontId="81" fillId="5" borderId="91" xfId="1" applyNumberFormat="1" applyFont="1" applyFill="1" applyBorder="1" applyAlignment="1">
      <alignment vertical="center"/>
    </xf>
    <xf numFmtId="188" fontId="81" fillId="5" borderId="24" xfId="1" applyNumberFormat="1" applyFont="1" applyFill="1" applyBorder="1" applyAlignment="1">
      <alignment horizontal="center" vertical="center"/>
    </xf>
    <xf numFmtId="188" fontId="81" fillId="5" borderId="4" xfId="1" applyNumberFormat="1" applyFont="1" applyFill="1" applyBorder="1" applyAlignment="1">
      <alignment horizontal="center" vertical="center"/>
    </xf>
    <xf numFmtId="188" fontId="81" fillId="5" borderId="11" xfId="1" applyNumberFormat="1" applyFont="1" applyFill="1" applyBorder="1" applyAlignment="1">
      <alignment horizontal="center" vertical="center"/>
    </xf>
    <xf numFmtId="43" fontId="81" fillId="5" borderId="4" xfId="1" applyFont="1" applyFill="1" applyBorder="1" applyAlignment="1">
      <alignment vertical="center"/>
    </xf>
    <xf numFmtId="43" fontId="81" fillId="5" borderId="9" xfId="1" applyFont="1" applyFill="1" applyBorder="1" applyAlignment="1">
      <alignment vertical="center"/>
    </xf>
    <xf numFmtId="188" fontId="81" fillId="5" borderId="5" xfId="1" applyNumberFormat="1" applyFont="1" applyFill="1" applyBorder="1" applyAlignment="1">
      <alignment vertical="center"/>
    </xf>
    <xf numFmtId="2" fontId="3" fillId="0" borderId="9" xfId="1" applyNumberFormat="1" applyFont="1" applyBorder="1"/>
    <xf numFmtId="188" fontId="3" fillId="8" borderId="206" xfId="0" applyNumberFormat="1" applyFont="1" applyFill="1" applyBorder="1" applyAlignment="1">
      <alignment vertical="center"/>
    </xf>
    <xf numFmtId="188" fontId="3" fillId="8" borderId="207" xfId="0" applyNumberFormat="1" applyFont="1" applyFill="1" applyBorder="1" applyAlignment="1">
      <alignment vertical="center"/>
    </xf>
    <xf numFmtId="2" fontId="0" fillId="0" borderId="0" xfId="0" applyNumberFormat="1"/>
    <xf numFmtId="49" fontId="6" fillId="0" borderId="0" xfId="0" applyNumberFormat="1" applyFont="1"/>
    <xf numFmtId="43" fontId="54" fillId="0" borderId="21" xfId="1" applyFont="1" applyFill="1" applyBorder="1"/>
    <xf numFmtId="188" fontId="5" fillId="0" borderId="149" xfId="1" applyNumberFormat="1" applyFont="1" applyFill="1" applyBorder="1"/>
    <xf numFmtId="188" fontId="3" fillId="5" borderId="9" xfId="1" applyNumberFormat="1" applyFont="1" applyFill="1" applyBorder="1" applyAlignment="1">
      <alignment vertical="center"/>
    </xf>
    <xf numFmtId="188" fontId="3" fillId="5" borderId="93" xfId="1" applyNumberFormat="1" applyFont="1" applyFill="1" applyBorder="1" applyAlignment="1">
      <alignment vertical="center"/>
    </xf>
    <xf numFmtId="188" fontId="3" fillId="5" borderId="24" xfId="1" applyNumberFormat="1" applyFont="1" applyFill="1" applyBorder="1" applyAlignment="1">
      <alignment vertical="center"/>
    </xf>
    <xf numFmtId="0" fontId="7" fillId="5" borderId="149" xfId="0" applyFont="1" applyFill="1" applyBorder="1"/>
    <xf numFmtId="188" fontId="4" fillId="5" borderId="9" xfId="0" applyNumberFormat="1" applyFont="1" applyFill="1" applyBorder="1"/>
    <xf numFmtId="188" fontId="3" fillId="5" borderId="5" xfId="0" applyNumberFormat="1" applyFont="1" applyFill="1" applyBorder="1"/>
    <xf numFmtId="188" fontId="3" fillId="5" borderId="91" xfId="1" applyNumberFormat="1" applyFont="1" applyFill="1" applyBorder="1"/>
    <xf numFmtId="188" fontId="3" fillId="5" borderId="21" xfId="1" applyNumberFormat="1" applyFont="1" applyFill="1" applyBorder="1"/>
    <xf numFmtId="188" fontId="3" fillId="5" borderId="11" xfId="1" applyNumberFormat="1" applyFont="1" applyFill="1" applyBorder="1"/>
    <xf numFmtId="43" fontId="3" fillId="5" borderId="4" xfId="1" applyFont="1" applyFill="1" applyBorder="1"/>
    <xf numFmtId="43" fontId="3" fillId="5" borderId="9" xfId="1" applyFont="1" applyFill="1" applyBorder="1"/>
    <xf numFmtId="188" fontId="3" fillId="5" borderId="5" xfId="1" applyNumberFormat="1" applyFont="1" applyFill="1" applyBorder="1"/>
    <xf numFmtId="187" fontId="6" fillId="0" borderId="0" xfId="0" applyNumberFormat="1" applyFont="1"/>
    <xf numFmtId="188" fontId="56" fillId="32" borderId="63" xfId="1" applyNumberFormat="1" applyFont="1" applyFill="1" applyBorder="1"/>
    <xf numFmtId="188" fontId="50" fillId="36" borderId="40" xfId="1" applyNumberFormat="1" applyFont="1" applyFill="1" applyBorder="1"/>
    <xf numFmtId="43" fontId="54" fillId="0" borderId="24" xfId="1" applyFont="1" applyFill="1" applyBorder="1"/>
    <xf numFmtId="188" fontId="56" fillId="32" borderId="42" xfId="1" applyNumberFormat="1" applyFont="1" applyFill="1" applyBorder="1"/>
    <xf numFmtId="41" fontId="4" fillId="28" borderId="4" xfId="1" applyNumberFormat="1" applyFont="1" applyFill="1" applyBorder="1"/>
    <xf numFmtId="41" fontId="4" fillId="15" borderId="4" xfId="1" applyNumberFormat="1" applyFont="1" applyFill="1" applyBorder="1"/>
    <xf numFmtId="41" fontId="4" fillId="36" borderId="4" xfId="1" applyNumberFormat="1" applyFont="1" applyFill="1" applyBorder="1"/>
    <xf numFmtId="41" fontId="50" fillId="0" borderId="0" xfId="0" applyNumberFormat="1" applyFont="1"/>
    <xf numFmtId="41" fontId="50" fillId="28" borderId="35" xfId="1" applyNumberFormat="1" applyFont="1" applyFill="1" applyBorder="1"/>
    <xf numFmtId="41" fontId="50" fillId="28" borderId="4" xfId="1" applyNumberFormat="1" applyFont="1" applyFill="1" applyBorder="1"/>
    <xf numFmtId="41" fontId="50" fillId="15" borderId="4" xfId="1" applyNumberFormat="1" applyFont="1" applyFill="1" applyBorder="1"/>
    <xf numFmtId="41" fontId="50" fillId="36" borderId="4" xfId="1" applyNumberFormat="1" applyFont="1" applyFill="1" applyBorder="1"/>
    <xf numFmtId="194" fontId="50" fillId="0" borderId="0" xfId="1" applyNumberFormat="1" applyFont="1"/>
    <xf numFmtId="188" fontId="3" fillId="32" borderId="77" xfId="1" applyNumberFormat="1" applyFont="1" applyFill="1" applyBorder="1"/>
    <xf numFmtId="41" fontId="3" fillId="32" borderId="75" xfId="1" applyNumberFormat="1" applyFont="1" applyFill="1" applyBorder="1"/>
    <xf numFmtId="188" fontId="3" fillId="32" borderId="54" xfId="1" applyNumberFormat="1" applyFont="1" applyFill="1" applyBorder="1"/>
    <xf numFmtId="188" fontId="3" fillId="32" borderId="51" xfId="1" applyNumberFormat="1" applyFont="1" applyFill="1" applyBorder="1"/>
    <xf numFmtId="188" fontId="3" fillId="32" borderId="66" xfId="1" applyNumberFormat="1" applyFont="1" applyFill="1" applyBorder="1"/>
    <xf numFmtId="188" fontId="3" fillId="15" borderId="102" xfId="1" applyNumberFormat="1" applyFont="1" applyFill="1" applyBorder="1"/>
    <xf numFmtId="188" fontId="3" fillId="15" borderId="7" xfId="1" applyNumberFormat="1" applyFont="1" applyFill="1" applyBorder="1"/>
    <xf numFmtId="41" fontId="4" fillId="9" borderId="50" xfId="1" applyNumberFormat="1" applyFont="1" applyFill="1" applyBorder="1"/>
    <xf numFmtId="41" fontId="4" fillId="7" borderId="50" xfId="1" applyNumberFormat="1" applyFont="1" applyFill="1" applyBorder="1"/>
    <xf numFmtId="188" fontId="3" fillId="3" borderId="123" xfId="1" applyNumberFormat="1" applyFont="1" applyFill="1" applyBorder="1"/>
    <xf numFmtId="188" fontId="3" fillId="36" borderId="123" xfId="1" applyNumberFormat="1" applyFont="1" applyFill="1" applyBorder="1"/>
    <xf numFmtId="41" fontId="3" fillId="3" borderId="123" xfId="1" applyNumberFormat="1" applyFont="1" applyFill="1" applyBorder="1"/>
    <xf numFmtId="41" fontId="56" fillId="36" borderId="1" xfId="1" applyNumberFormat="1" applyFont="1" applyFill="1" applyBorder="1"/>
    <xf numFmtId="0" fontId="82" fillId="0" borderId="0" xfId="0" applyFont="1"/>
    <xf numFmtId="41" fontId="83" fillId="0" borderId="0" xfId="0" applyNumberFormat="1" applyFont="1"/>
    <xf numFmtId="41" fontId="4" fillId="28" borderId="119" xfId="1" applyNumberFormat="1" applyFont="1" applyFill="1" applyBorder="1"/>
    <xf numFmtId="41" fontId="50" fillId="28" borderId="119" xfId="1" applyNumberFormat="1" applyFont="1" applyFill="1" applyBorder="1"/>
    <xf numFmtId="0" fontId="63" fillId="32" borderId="52" xfId="0" applyFont="1" applyFill="1" applyBorder="1"/>
    <xf numFmtId="0" fontId="63" fillId="32" borderId="53" xfId="0" applyFont="1" applyFill="1" applyBorder="1"/>
    <xf numFmtId="188" fontId="3" fillId="0" borderId="171" xfId="1" applyNumberFormat="1" applyFont="1" applyFill="1" applyBorder="1" applyAlignment="1">
      <alignment horizontal="center" vertical="center" wrapText="1"/>
    </xf>
    <xf numFmtId="0" fontId="63" fillId="0" borderId="177" xfId="0" applyFont="1" applyBorder="1" applyAlignment="1">
      <alignment horizontal="center" vertical="center"/>
    </xf>
    <xf numFmtId="0" fontId="63" fillId="0" borderId="171" xfId="0" applyFont="1" applyBorder="1" applyAlignment="1">
      <alignment horizontal="center" vertical="center"/>
    </xf>
    <xf numFmtId="188" fontId="3" fillId="0" borderId="136" xfId="1" applyNumberFormat="1" applyFont="1" applyFill="1" applyBorder="1" applyAlignment="1">
      <alignment vertical="center"/>
    </xf>
    <xf numFmtId="188" fontId="56" fillId="32" borderId="138" xfId="1" applyNumberFormat="1" applyFont="1" applyFill="1" applyBorder="1" applyAlignment="1">
      <alignment horizontal="center" vertical="center" wrapText="1"/>
    </xf>
    <xf numFmtId="188" fontId="3" fillId="0" borderId="139" xfId="1" applyNumberFormat="1" applyFont="1" applyFill="1" applyBorder="1" applyAlignment="1">
      <alignment horizontal="center" vertical="center" wrapText="1"/>
    </xf>
    <xf numFmtId="41" fontId="3" fillId="0" borderId="139" xfId="1" applyNumberFormat="1" applyFont="1" applyFill="1" applyBorder="1" applyAlignment="1">
      <alignment horizontal="center" vertical="center" wrapText="1"/>
    </xf>
    <xf numFmtId="188" fontId="3" fillId="9" borderId="139" xfId="1" applyNumberFormat="1" applyFont="1" applyFill="1" applyBorder="1" applyAlignment="1">
      <alignment horizontal="center" vertical="center" wrapText="1"/>
    </xf>
    <xf numFmtId="188" fontId="3" fillId="7" borderId="139" xfId="1" applyNumberFormat="1" applyFont="1" applyFill="1" applyBorder="1" applyAlignment="1">
      <alignment horizontal="center" vertical="center" wrapText="1"/>
    </xf>
    <xf numFmtId="0" fontId="82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41" fontId="50" fillId="28" borderId="50" xfId="1" applyNumberFormat="1" applyFont="1" applyFill="1" applyBorder="1"/>
    <xf numFmtId="41" fontId="4" fillId="32" borderId="50" xfId="1" applyNumberFormat="1" applyFont="1" applyFill="1" applyBorder="1"/>
    <xf numFmtId="41" fontId="4" fillId="14" borderId="50" xfId="1" applyNumberFormat="1" applyFont="1" applyFill="1" applyBorder="1"/>
    <xf numFmtId="0" fontId="63" fillId="32" borderId="50" xfId="0" applyFont="1" applyFill="1" applyBorder="1"/>
    <xf numFmtId="41" fontId="84" fillId="0" borderId="0" xfId="0" applyNumberFormat="1" applyFont="1"/>
    <xf numFmtId="41" fontId="56" fillId="0" borderId="0" xfId="0" applyNumberFormat="1" applyFont="1"/>
    <xf numFmtId="41" fontId="50" fillId="28" borderId="156" xfId="1" applyNumberFormat="1" applyFont="1" applyFill="1" applyBorder="1"/>
    <xf numFmtId="41" fontId="4" fillId="9" borderId="158" xfId="1" applyNumberFormat="1" applyFont="1" applyFill="1" applyBorder="1"/>
    <xf numFmtId="41" fontId="4" fillId="14" borderId="158" xfId="1" applyNumberFormat="1" applyFont="1" applyFill="1" applyBorder="1"/>
    <xf numFmtId="188" fontId="4" fillId="36" borderId="50" xfId="1" applyNumberFormat="1" applyFont="1" applyFill="1" applyBorder="1"/>
    <xf numFmtId="41" fontId="4" fillId="7" borderId="158" xfId="1" applyNumberFormat="1" applyFont="1" applyFill="1" applyBorder="1"/>
    <xf numFmtId="0" fontId="63" fillId="15" borderId="100" xfId="0" applyFont="1" applyFill="1" applyBorder="1"/>
    <xf numFmtId="49" fontId="3" fillId="15" borderId="15" xfId="0" applyNumberFormat="1" applyFont="1" applyFill="1" applyBorder="1" applyAlignment="1">
      <alignment vertical="center"/>
    </xf>
    <xf numFmtId="0" fontId="63" fillId="32" borderId="75" xfId="0" applyFont="1" applyFill="1" applyBorder="1" applyAlignment="1">
      <alignment vertical="center"/>
    </xf>
    <xf numFmtId="0" fontId="63" fillId="32" borderId="140" xfId="0" applyFont="1" applyFill="1" applyBorder="1" applyAlignment="1">
      <alignment vertical="center"/>
    </xf>
    <xf numFmtId="0" fontId="51" fillId="32" borderId="116" xfId="0" applyFont="1" applyFill="1" applyBorder="1" applyAlignment="1">
      <alignment vertical="center"/>
    </xf>
    <xf numFmtId="188" fontId="3" fillId="32" borderId="141" xfId="1" applyNumberFormat="1" applyFont="1" applyFill="1" applyBorder="1"/>
    <xf numFmtId="0" fontId="63" fillId="0" borderId="137" xfId="0" applyFont="1" applyBorder="1" applyAlignment="1">
      <alignment horizontal="left" vertical="center"/>
    </xf>
    <xf numFmtId="0" fontId="64" fillId="32" borderId="75" xfId="0" applyFont="1" applyFill="1" applyBorder="1" applyAlignment="1">
      <alignment vertical="center"/>
    </xf>
    <xf numFmtId="0" fontId="51" fillId="20" borderId="210" xfId="0" applyFont="1" applyFill="1" applyBorder="1"/>
    <xf numFmtId="188" fontId="3" fillId="20" borderId="212" xfId="1" applyNumberFormat="1" applyFont="1" applyFill="1" applyBorder="1"/>
    <xf numFmtId="188" fontId="3" fillId="20" borderId="157" xfId="1" applyNumberFormat="1" applyFont="1" applyFill="1" applyBorder="1"/>
    <xf numFmtId="41" fontId="4" fillId="0" borderId="158" xfId="1" applyNumberFormat="1" applyFont="1" applyBorder="1"/>
    <xf numFmtId="0" fontId="51" fillId="0" borderId="48" xfId="0" applyFont="1" applyBorder="1"/>
    <xf numFmtId="188" fontId="8" fillId="11" borderId="43" xfId="1" applyNumberFormat="1" applyFont="1" applyFill="1" applyBorder="1"/>
    <xf numFmtId="188" fontId="8" fillId="36" borderId="35" xfId="1" applyNumberFormat="1" applyFont="1" applyFill="1" applyBorder="1"/>
    <xf numFmtId="41" fontId="8" fillId="0" borderId="35" xfId="1" applyNumberFormat="1" applyFont="1" applyBorder="1"/>
    <xf numFmtId="41" fontId="8" fillId="9" borderId="35" xfId="1" applyNumberFormat="1" applyFont="1" applyFill="1" applyBorder="1"/>
    <xf numFmtId="41" fontId="8" fillId="0" borderId="35" xfId="1" applyNumberFormat="1" applyFont="1" applyFill="1" applyBorder="1"/>
    <xf numFmtId="41" fontId="8" fillId="7" borderId="35" xfId="1" applyNumberFormat="1" applyFont="1" applyFill="1" applyBorder="1"/>
    <xf numFmtId="41" fontId="8" fillId="14" borderId="35" xfId="1" applyNumberFormat="1" applyFont="1" applyFill="1" applyBorder="1"/>
    <xf numFmtId="0" fontId="85" fillId="0" borderId="0" xfId="0" applyFont="1"/>
    <xf numFmtId="0" fontId="52" fillId="0" borderId="48" xfId="0" applyFont="1" applyBorder="1"/>
    <xf numFmtId="0" fontId="52" fillId="0" borderId="47" xfId="0" applyFont="1" applyBorder="1" applyAlignment="1">
      <alignment horizontal="left" wrapText="1"/>
    </xf>
    <xf numFmtId="0" fontId="52" fillId="0" borderId="43" xfId="0" applyFont="1" applyBorder="1" applyAlignment="1">
      <alignment horizontal="left" wrapText="1"/>
    </xf>
    <xf numFmtId="188" fontId="8" fillId="0" borderId="44" xfId="1" applyNumberFormat="1" applyFont="1" applyFill="1" applyBorder="1"/>
    <xf numFmtId="188" fontId="8" fillId="0" borderId="43" xfId="1" applyNumberFormat="1" applyFont="1" applyFill="1" applyBorder="1"/>
    <xf numFmtId="188" fontId="8" fillId="0" borderId="35" xfId="1" applyNumberFormat="1" applyFont="1" applyFill="1" applyBorder="1"/>
    <xf numFmtId="0" fontId="51" fillId="0" borderId="154" xfId="0" applyFont="1" applyBorder="1"/>
    <xf numFmtId="0" fontId="51" fillId="0" borderId="63" xfId="0" applyFont="1" applyBorder="1"/>
    <xf numFmtId="0" fontId="4" fillId="0" borderId="48" xfId="0" applyFont="1" applyBorder="1"/>
    <xf numFmtId="0" fontId="4" fillId="0" borderId="43" xfId="0" applyFont="1" applyBorder="1"/>
    <xf numFmtId="0" fontId="6" fillId="0" borderId="48" xfId="0" applyFont="1" applyBorder="1"/>
    <xf numFmtId="0" fontId="8" fillId="0" borderId="43" xfId="0" applyFont="1" applyBorder="1"/>
    <xf numFmtId="0" fontId="51" fillId="0" borderId="43" xfId="0" applyFont="1" applyBorder="1"/>
    <xf numFmtId="0" fontId="50" fillId="0" borderId="154" xfId="0" applyFont="1" applyBorder="1"/>
    <xf numFmtId="49" fontId="4" fillId="0" borderId="155" xfId="0" applyNumberFormat="1" applyFont="1" applyBorder="1" applyAlignment="1">
      <alignment horizontal="left" vertical="center"/>
    </xf>
    <xf numFmtId="0" fontId="50" fillId="0" borderId="48" xfId="0" applyFont="1" applyBorder="1"/>
    <xf numFmtId="49" fontId="4" fillId="0" borderId="47" xfId="0" applyNumberFormat="1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50" fillId="0" borderId="52" xfId="0" applyFont="1" applyBorder="1"/>
    <xf numFmtId="49" fontId="4" fillId="0" borderId="57" xfId="0" applyNumberFormat="1" applyFont="1" applyBorder="1" applyAlignment="1">
      <alignment vertical="center"/>
    </xf>
    <xf numFmtId="41" fontId="56" fillId="32" borderId="50" xfId="1" applyNumberFormat="1" applyFont="1" applyFill="1" applyBorder="1"/>
    <xf numFmtId="188" fontId="3" fillId="32" borderId="75" xfId="1" applyNumberFormat="1" applyFont="1" applyFill="1" applyBorder="1"/>
    <xf numFmtId="41" fontId="56" fillId="32" borderId="75" xfId="1" applyNumberFormat="1" applyFont="1" applyFill="1" applyBorder="1"/>
    <xf numFmtId="0" fontId="52" fillId="0" borderId="47" xfId="0" applyFont="1" applyBorder="1"/>
    <xf numFmtId="0" fontId="52" fillId="0" borderId="43" xfId="0" applyFont="1" applyBorder="1"/>
    <xf numFmtId="49" fontId="8" fillId="32" borderId="0" xfId="0" applyNumberFormat="1" applyFont="1" applyFill="1" applyAlignment="1">
      <alignment vertical="center"/>
    </xf>
    <xf numFmtId="49" fontId="5" fillId="32" borderId="0" xfId="0" applyNumberFormat="1" applyFont="1" applyFill="1" applyAlignment="1">
      <alignment vertical="center"/>
    </xf>
    <xf numFmtId="0" fontId="53" fillId="32" borderId="215" xfId="0" applyFont="1" applyFill="1" applyBorder="1"/>
    <xf numFmtId="49" fontId="8" fillId="32" borderId="216" xfId="0" applyNumberFormat="1" applyFont="1" applyFill="1" applyBorder="1" applyAlignment="1">
      <alignment vertical="center"/>
    </xf>
    <xf numFmtId="0" fontId="64" fillId="8" borderId="47" xfId="0" applyFont="1" applyFill="1" applyBorder="1"/>
    <xf numFmtId="41" fontId="86" fillId="0" borderId="0" xfId="0" applyNumberFormat="1" applyFont="1"/>
    <xf numFmtId="41" fontId="53" fillId="0" borderId="0" xfId="0" applyNumberFormat="1" applyFont="1"/>
    <xf numFmtId="0" fontId="52" fillId="8" borderId="48" xfId="0" applyFont="1" applyFill="1" applyBorder="1" applyAlignment="1">
      <alignment vertical="center"/>
    </xf>
    <xf numFmtId="0" fontId="64" fillId="8" borderId="47" xfId="0" applyFont="1" applyFill="1" applyBorder="1" applyAlignment="1">
      <alignment vertical="center"/>
    </xf>
    <xf numFmtId="41" fontId="86" fillId="0" borderId="0" xfId="0" applyNumberFormat="1" applyFont="1" applyAlignment="1">
      <alignment vertical="center"/>
    </xf>
    <xf numFmtId="41" fontId="53" fillId="0" borderId="0" xfId="0" applyNumberFormat="1" applyFont="1" applyAlignment="1">
      <alignment vertical="center"/>
    </xf>
    <xf numFmtId="188" fontId="8" fillId="0" borderId="0" xfId="1" applyNumberFormat="1" applyFont="1" applyAlignment="1">
      <alignment vertical="center"/>
    </xf>
    <xf numFmtId="0" fontId="57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188" fontId="5" fillId="32" borderId="44" xfId="1" applyNumberFormat="1" applyFont="1" applyFill="1" applyBorder="1"/>
    <xf numFmtId="188" fontId="5" fillId="32" borderId="43" xfId="1" applyNumberFormat="1" applyFont="1" applyFill="1" applyBorder="1"/>
    <xf numFmtId="41" fontId="8" fillId="32" borderId="4" xfId="1" applyNumberFormat="1" applyFont="1" applyFill="1" applyBorder="1"/>
    <xf numFmtId="0" fontId="64" fillId="32" borderId="172" xfId="0" applyFont="1" applyFill="1" applyBorder="1" applyAlignment="1">
      <alignment vertical="center"/>
    </xf>
    <xf numFmtId="0" fontId="64" fillId="32" borderId="213" xfId="0" applyFont="1" applyFill="1" applyBorder="1" applyAlignment="1">
      <alignment vertical="center"/>
    </xf>
    <xf numFmtId="0" fontId="52" fillId="32" borderId="214" xfId="0" applyFont="1" applyFill="1" applyBorder="1" applyAlignment="1">
      <alignment vertical="center"/>
    </xf>
    <xf numFmtId="188" fontId="5" fillId="32" borderId="173" xfId="1" applyNumberFormat="1" applyFont="1" applyFill="1" applyBorder="1"/>
    <xf numFmtId="188" fontId="5" fillId="32" borderId="159" xfId="1" applyNumberFormat="1" applyFont="1" applyFill="1" applyBorder="1"/>
    <xf numFmtId="188" fontId="5" fillId="32" borderId="172" xfId="1" applyNumberFormat="1" applyFont="1" applyFill="1" applyBorder="1"/>
    <xf numFmtId="41" fontId="5" fillId="32" borderId="172" xfId="1" applyNumberFormat="1" applyFont="1" applyFill="1" applyBorder="1"/>
    <xf numFmtId="41" fontId="62" fillId="32" borderId="172" xfId="1" applyNumberFormat="1" applyFont="1" applyFill="1" applyBorder="1"/>
    <xf numFmtId="0" fontId="5" fillId="32" borderId="9" xfId="0" applyFont="1" applyFill="1" applyBorder="1"/>
    <xf numFmtId="188" fontId="5" fillId="32" borderId="22" xfId="1" applyNumberFormat="1" applyFont="1" applyFill="1" applyBorder="1"/>
    <xf numFmtId="188" fontId="5" fillId="32" borderId="21" xfId="1" applyNumberFormat="1" applyFont="1" applyFill="1" applyBorder="1"/>
    <xf numFmtId="188" fontId="5" fillId="32" borderId="4" xfId="1" applyNumberFormat="1" applyFont="1" applyFill="1" applyBorder="1"/>
    <xf numFmtId="41" fontId="5" fillId="32" borderId="4" xfId="1" applyNumberFormat="1" applyFont="1" applyFill="1" applyBorder="1"/>
    <xf numFmtId="41" fontId="87" fillId="0" borderId="0" xfId="0" applyNumberFormat="1" applyFont="1"/>
    <xf numFmtId="0" fontId="64" fillId="8" borderId="48" xfId="0" applyFont="1" applyFill="1" applyBorder="1"/>
    <xf numFmtId="188" fontId="5" fillId="8" borderId="44" xfId="1" applyNumberFormat="1" applyFont="1" applyFill="1" applyBorder="1"/>
    <xf numFmtId="188" fontId="5" fillId="8" borderId="43" xfId="1" applyNumberFormat="1" applyFont="1" applyFill="1" applyBorder="1"/>
    <xf numFmtId="188" fontId="5" fillId="8" borderId="35" xfId="1" applyNumberFormat="1" applyFont="1" applyFill="1" applyBorder="1"/>
    <xf numFmtId="41" fontId="5" fillId="8" borderId="35" xfId="1" applyNumberFormat="1" applyFont="1" applyFill="1" applyBorder="1"/>
    <xf numFmtId="41" fontId="5" fillId="8" borderId="4" xfId="1" applyNumberFormat="1" applyFont="1" applyFill="1" applyBorder="1"/>
    <xf numFmtId="41" fontId="62" fillId="8" borderId="4" xfId="1" applyNumberFormat="1" applyFont="1" applyFill="1" applyBorder="1"/>
    <xf numFmtId="0" fontId="87" fillId="0" borderId="0" xfId="0" applyFont="1"/>
    <xf numFmtId="0" fontId="64" fillId="8" borderId="48" xfId="0" applyFont="1" applyFill="1" applyBorder="1" applyAlignment="1">
      <alignment vertical="center"/>
    </xf>
    <xf numFmtId="188" fontId="5" fillId="8" borderId="44" xfId="1" applyNumberFormat="1" applyFont="1" applyFill="1" applyBorder="1" applyAlignment="1">
      <alignment vertical="center"/>
    </xf>
    <xf numFmtId="188" fontId="5" fillId="8" borderId="43" xfId="1" applyNumberFormat="1" applyFont="1" applyFill="1" applyBorder="1" applyAlignment="1">
      <alignment vertical="center"/>
    </xf>
    <xf numFmtId="188" fontId="5" fillId="8" borderId="35" xfId="1" applyNumberFormat="1" applyFont="1" applyFill="1" applyBorder="1" applyAlignment="1">
      <alignment vertical="center"/>
    </xf>
    <xf numFmtId="41" fontId="5" fillId="8" borderId="35" xfId="1" applyNumberFormat="1" applyFont="1" applyFill="1" applyBorder="1" applyAlignment="1">
      <alignment vertical="center"/>
    </xf>
    <xf numFmtId="0" fontId="87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188" fontId="5" fillId="4" borderId="0" xfId="1" applyNumberFormat="1" applyFont="1" applyFill="1" applyAlignment="1">
      <alignment vertical="center"/>
    </xf>
    <xf numFmtId="0" fontId="65" fillId="4" borderId="0" xfId="0" applyFont="1" applyFill="1" applyAlignment="1">
      <alignment vertical="center"/>
    </xf>
    <xf numFmtId="0" fontId="64" fillId="4" borderId="0" xfId="0" applyFont="1" applyFill="1" applyAlignment="1">
      <alignment vertical="center"/>
    </xf>
    <xf numFmtId="188" fontId="3" fillId="0" borderId="44" xfId="1" applyNumberFormat="1" applyFont="1" applyFill="1" applyBorder="1"/>
    <xf numFmtId="188" fontId="3" fillId="0" borderId="54" xfId="1" applyNumberFormat="1" applyFont="1" applyFill="1" applyBorder="1"/>
    <xf numFmtId="188" fontId="3" fillId="0" borderId="41" xfId="1" applyNumberFormat="1" applyFont="1" applyFill="1" applyBorder="1"/>
    <xf numFmtId="188" fontId="5" fillId="32" borderId="192" xfId="1" applyNumberFormat="1" applyFont="1" applyFill="1" applyBorder="1"/>
    <xf numFmtId="188" fontId="8" fillId="8" borderId="22" xfId="1" applyNumberFormat="1" applyFont="1" applyFill="1" applyBorder="1" applyAlignment="1">
      <alignment vertical="center"/>
    </xf>
    <xf numFmtId="188" fontId="8" fillId="8" borderId="63" xfId="1" applyNumberFormat="1" applyFont="1" applyFill="1" applyBorder="1" applyAlignment="1">
      <alignment vertical="center"/>
    </xf>
    <xf numFmtId="188" fontId="8" fillId="8" borderId="40" xfId="1" applyNumberFormat="1" applyFont="1" applyFill="1" applyBorder="1" applyAlignment="1">
      <alignment vertical="center"/>
    </xf>
    <xf numFmtId="41" fontId="8" fillId="8" borderId="40" xfId="1" applyNumberFormat="1" applyFont="1" applyFill="1" applyBorder="1" applyAlignment="1">
      <alignment vertical="center"/>
    </xf>
    <xf numFmtId="188" fontId="8" fillId="8" borderId="41" xfId="1" applyNumberFormat="1" applyFont="1" applyFill="1" applyBorder="1" applyAlignment="1">
      <alignment vertical="center"/>
    </xf>
    <xf numFmtId="41" fontId="53" fillId="8" borderId="40" xfId="1" applyNumberFormat="1" applyFont="1" applyFill="1" applyBorder="1" applyAlignment="1">
      <alignment vertical="center"/>
    </xf>
    <xf numFmtId="0" fontId="52" fillId="8" borderId="154" xfId="0" applyFont="1" applyFill="1" applyBorder="1" applyAlignment="1">
      <alignment vertical="center"/>
    </xf>
    <xf numFmtId="0" fontId="64" fillId="8" borderId="155" xfId="0" applyFont="1" applyFill="1" applyBorder="1" applyAlignment="1">
      <alignment vertical="center"/>
    </xf>
    <xf numFmtId="0" fontId="8" fillId="32" borderId="208" xfId="0" applyFont="1" applyFill="1" applyBorder="1"/>
    <xf numFmtId="188" fontId="5" fillId="32" borderId="223" xfId="1" applyNumberFormat="1" applyFont="1" applyFill="1" applyBorder="1"/>
    <xf numFmtId="188" fontId="8" fillId="32" borderId="156" xfId="1" applyNumberFormat="1" applyFont="1" applyFill="1" applyBorder="1"/>
    <xf numFmtId="41" fontId="8" fillId="32" borderId="156" xfId="1" applyNumberFormat="1" applyFont="1" applyFill="1" applyBorder="1"/>
    <xf numFmtId="41" fontId="53" fillId="32" borderId="156" xfId="1" applyNumberFormat="1" applyFont="1" applyFill="1" applyBorder="1"/>
    <xf numFmtId="0" fontId="64" fillId="8" borderId="211" xfId="0" applyFont="1" applyFill="1" applyBorder="1" applyAlignment="1">
      <alignment horizontal="left"/>
    </xf>
    <xf numFmtId="0" fontId="64" fillId="8" borderId="157" xfId="0" applyFont="1" applyFill="1" applyBorder="1" applyAlignment="1">
      <alignment horizontal="left" wrapText="1"/>
    </xf>
    <xf numFmtId="188" fontId="5" fillId="8" borderId="212" xfId="1" applyNumberFormat="1" applyFont="1" applyFill="1" applyBorder="1"/>
    <xf numFmtId="188" fontId="5" fillId="8" borderId="157" xfId="1" applyNumberFormat="1" applyFont="1" applyFill="1" applyBorder="1"/>
    <xf numFmtId="188" fontId="5" fillId="8" borderId="158" xfId="1" applyNumberFormat="1" applyFont="1" applyFill="1" applyBorder="1"/>
    <xf numFmtId="41" fontId="5" fillId="8" borderId="158" xfId="1" applyNumberFormat="1" applyFont="1" applyFill="1" applyBorder="1"/>
    <xf numFmtId="41" fontId="53" fillId="0" borderId="35" xfId="1" applyNumberFormat="1" applyFont="1" applyFill="1" applyBorder="1"/>
    <xf numFmtId="41" fontId="62" fillId="8" borderId="35" xfId="1" applyNumberFormat="1" applyFont="1" applyFill="1" applyBorder="1" applyAlignment="1">
      <alignment vertical="center"/>
    </xf>
    <xf numFmtId="41" fontId="62" fillId="8" borderId="35" xfId="1" applyNumberFormat="1" applyFont="1" applyFill="1" applyBorder="1"/>
    <xf numFmtId="41" fontId="53" fillId="28" borderId="35" xfId="1" applyNumberFormat="1" applyFont="1" applyFill="1" applyBorder="1"/>
    <xf numFmtId="188" fontId="8" fillId="32" borderId="221" xfId="1" applyNumberFormat="1" applyFont="1" applyFill="1" applyBorder="1"/>
    <xf numFmtId="188" fontId="8" fillId="32" borderId="217" xfId="1" applyNumberFormat="1" applyFont="1" applyFill="1" applyBorder="1"/>
    <xf numFmtId="188" fontId="8" fillId="36" borderId="219" xfId="1" applyNumberFormat="1" applyFont="1" applyFill="1" applyBorder="1"/>
    <xf numFmtId="41" fontId="8" fillId="32" borderId="219" xfId="1" applyNumberFormat="1" applyFont="1" applyFill="1" applyBorder="1"/>
    <xf numFmtId="41" fontId="8" fillId="9" borderId="219" xfId="1" applyNumberFormat="1" applyFont="1" applyFill="1" applyBorder="1"/>
    <xf numFmtId="41" fontId="8" fillId="32" borderId="75" xfId="1" applyNumberFormat="1" applyFont="1" applyFill="1" applyBorder="1"/>
    <xf numFmtId="41" fontId="8" fillId="7" borderId="75" xfId="1" applyNumberFormat="1" applyFont="1" applyFill="1" applyBorder="1"/>
    <xf numFmtId="41" fontId="8" fillId="14" borderId="219" xfId="1" applyNumberFormat="1" applyFont="1" applyFill="1" applyBorder="1"/>
    <xf numFmtId="0" fontId="53" fillId="32" borderId="9" xfId="0" applyFont="1" applyFill="1" applyBorder="1"/>
    <xf numFmtId="188" fontId="8" fillId="32" borderId="11" xfId="1" applyNumberFormat="1" applyFont="1" applyFill="1" applyBorder="1"/>
    <xf numFmtId="188" fontId="8" fillId="36" borderId="4" xfId="1" applyNumberFormat="1" applyFont="1" applyFill="1" applyBorder="1"/>
    <xf numFmtId="41" fontId="8" fillId="9" borderId="4" xfId="1" applyNumberFormat="1" applyFont="1" applyFill="1" applyBorder="1"/>
    <xf numFmtId="41" fontId="8" fillId="7" borderId="4" xfId="1" applyNumberFormat="1" applyFont="1" applyFill="1" applyBorder="1"/>
    <xf numFmtId="41" fontId="8" fillId="14" borderId="4" xfId="1" applyNumberFormat="1" applyFont="1" applyFill="1" applyBorder="1"/>
    <xf numFmtId="41" fontId="8" fillId="14" borderId="81" xfId="1" applyNumberFormat="1" applyFont="1" applyFill="1" applyBorder="1"/>
    <xf numFmtId="188" fontId="8" fillId="32" borderId="218" xfId="1" applyNumberFormat="1" applyFont="1" applyFill="1" applyBorder="1"/>
    <xf numFmtId="194" fontId="3" fillId="6" borderId="75" xfId="1" applyNumberFormat="1" applyFont="1" applyFill="1" applyBorder="1" applyAlignment="1">
      <alignment horizontal="center" vertical="center" wrapText="1"/>
    </xf>
    <xf numFmtId="194" fontId="3" fillId="6" borderId="141" xfId="1" applyNumberFormat="1" applyFont="1" applyFill="1" applyBorder="1" applyAlignment="1">
      <alignment horizontal="center" vertical="center" wrapText="1"/>
    </xf>
    <xf numFmtId="41" fontId="3" fillId="6" borderId="75" xfId="1" applyNumberFormat="1" applyFont="1" applyFill="1" applyBorder="1"/>
    <xf numFmtId="41" fontId="56" fillId="6" borderId="75" xfId="1" applyNumberFormat="1" applyFont="1" applyFill="1" applyBorder="1"/>
    <xf numFmtId="41" fontId="4" fillId="46" borderId="35" xfId="1" applyNumberFormat="1" applyFont="1" applyFill="1" applyBorder="1"/>
    <xf numFmtId="41" fontId="50" fillId="46" borderId="35" xfId="1" applyNumberFormat="1" applyFont="1" applyFill="1" applyBorder="1"/>
    <xf numFmtId="41" fontId="4" fillId="46" borderId="156" xfId="1" applyNumberFormat="1" applyFont="1" applyFill="1" applyBorder="1"/>
    <xf numFmtId="41" fontId="50" fillId="46" borderId="156" xfId="1" applyNumberFormat="1" applyFont="1" applyFill="1" applyBorder="1"/>
    <xf numFmtId="41" fontId="4" fillId="46" borderId="50" xfId="1" applyNumberFormat="1" applyFont="1" applyFill="1" applyBorder="1"/>
    <xf numFmtId="41" fontId="50" fillId="46" borderId="50" xfId="1" applyNumberFormat="1" applyFont="1" applyFill="1" applyBorder="1"/>
    <xf numFmtId="41" fontId="8" fillId="46" borderId="119" xfId="1" applyNumberFormat="1" applyFont="1" applyFill="1" applyBorder="1"/>
    <xf numFmtId="41" fontId="53" fillId="46" borderId="119" xfId="1" applyNumberFormat="1" applyFont="1" applyFill="1" applyBorder="1"/>
    <xf numFmtId="41" fontId="8" fillId="46" borderId="75" xfId="1" applyNumberFormat="1" applyFont="1" applyFill="1" applyBorder="1"/>
    <xf numFmtId="41" fontId="53" fillId="46" borderId="75" xfId="1" applyNumberFormat="1" applyFont="1" applyFill="1" applyBorder="1"/>
    <xf numFmtId="41" fontId="8" fillId="46" borderId="40" xfId="1" applyNumberFormat="1" applyFont="1" applyFill="1" applyBorder="1" applyAlignment="1">
      <alignment vertical="center"/>
    </xf>
    <xf numFmtId="41" fontId="53" fillId="46" borderId="40" xfId="1" applyNumberFormat="1" applyFont="1" applyFill="1" applyBorder="1" applyAlignment="1">
      <alignment vertical="center"/>
    </xf>
    <xf numFmtId="41" fontId="8" fillId="46" borderId="35" xfId="1" applyNumberFormat="1" applyFont="1" applyFill="1" applyBorder="1"/>
    <xf numFmtId="41" fontId="53" fillId="46" borderId="35" xfId="1" applyNumberFormat="1" applyFont="1" applyFill="1" applyBorder="1"/>
    <xf numFmtId="41" fontId="8" fillId="6" borderId="156" xfId="1" applyNumberFormat="1" applyFont="1" applyFill="1" applyBorder="1"/>
    <xf numFmtId="41" fontId="53" fillId="6" borderId="156" xfId="1" applyNumberFormat="1" applyFont="1" applyFill="1" applyBorder="1"/>
    <xf numFmtId="41" fontId="5" fillId="6" borderId="172" xfId="1" applyNumberFormat="1" applyFont="1" applyFill="1" applyBorder="1"/>
    <xf numFmtId="41" fontId="62" fillId="6" borderId="172" xfId="1" applyNumberFormat="1" applyFont="1" applyFill="1" applyBorder="1"/>
    <xf numFmtId="41" fontId="5" fillId="6" borderId="4" xfId="1" applyNumberFormat="1" applyFont="1" applyFill="1" applyBorder="1"/>
    <xf numFmtId="194" fontId="56" fillId="28" borderId="107" xfId="1" applyNumberFormat="1" applyFont="1" applyFill="1" applyBorder="1" applyAlignment="1">
      <alignment horizontal="center" vertical="center" wrapText="1"/>
    </xf>
    <xf numFmtId="41" fontId="62" fillId="32" borderId="4" xfId="1" applyNumberFormat="1" applyFont="1" applyFill="1" applyBorder="1"/>
    <xf numFmtId="41" fontId="53" fillId="28" borderId="4" xfId="1" applyNumberFormat="1" applyFont="1" applyFill="1" applyBorder="1"/>
    <xf numFmtId="41" fontId="53" fillId="28" borderId="219" xfId="1" applyNumberFormat="1" applyFont="1" applyFill="1" applyBorder="1"/>
    <xf numFmtId="41" fontId="50" fillId="15" borderId="40" xfId="1" applyNumberFormat="1" applyFont="1" applyFill="1" applyBorder="1"/>
    <xf numFmtId="41" fontId="50" fillId="28" borderId="158" xfId="1" applyNumberFormat="1" applyFont="1" applyFill="1" applyBorder="1"/>
    <xf numFmtId="41" fontId="62" fillId="8" borderId="158" xfId="1" applyNumberFormat="1" applyFont="1" applyFill="1" applyBorder="1"/>
    <xf numFmtId="188" fontId="56" fillId="3" borderId="123" xfId="1" applyNumberFormat="1" applyFont="1" applyFill="1" applyBorder="1"/>
    <xf numFmtId="41" fontId="63" fillId="32" borderId="75" xfId="1" applyNumberFormat="1" applyFont="1" applyFill="1" applyBorder="1"/>
    <xf numFmtId="41" fontId="51" fillId="14" borderId="50" xfId="1" applyNumberFormat="1" applyFont="1" applyFill="1" applyBorder="1"/>
    <xf numFmtId="41" fontId="64" fillId="32" borderId="4" xfId="1" applyNumberFormat="1" applyFont="1" applyFill="1" applyBorder="1"/>
    <xf numFmtId="41" fontId="64" fillId="32" borderId="172" xfId="1" applyNumberFormat="1" applyFont="1" applyFill="1" applyBorder="1"/>
    <xf numFmtId="41" fontId="52" fillId="14" borderId="4" xfId="1" applyNumberFormat="1" applyFont="1" applyFill="1" applyBorder="1"/>
    <xf numFmtId="41" fontId="52" fillId="14" borderId="219" xfId="1" applyNumberFormat="1" applyFont="1" applyFill="1" applyBorder="1"/>
    <xf numFmtId="41" fontId="51" fillId="14" borderId="158" xfId="1" applyNumberFormat="1" applyFont="1" applyFill="1" applyBorder="1"/>
    <xf numFmtId="41" fontId="52" fillId="32" borderId="156" xfId="1" applyNumberFormat="1" applyFont="1" applyFill="1" applyBorder="1"/>
    <xf numFmtId="41" fontId="52" fillId="8" borderId="40" xfId="1" applyNumberFormat="1" applyFont="1" applyFill="1" applyBorder="1" applyAlignment="1">
      <alignment vertical="center"/>
    </xf>
    <xf numFmtId="41" fontId="64" fillId="8" borderId="158" xfId="1" applyNumberFormat="1" applyFont="1" applyFill="1" applyBorder="1"/>
    <xf numFmtId="41" fontId="52" fillId="0" borderId="35" xfId="1" applyNumberFormat="1" applyFont="1" applyFill="1" applyBorder="1"/>
    <xf numFmtId="41" fontId="64" fillId="8" borderId="35" xfId="1" applyNumberFormat="1" applyFont="1" applyFill="1" applyBorder="1" applyAlignment="1">
      <alignment vertical="center"/>
    </xf>
    <xf numFmtId="41" fontId="64" fillId="8" borderId="35" xfId="1" applyNumberFormat="1" applyFont="1" applyFill="1" applyBorder="1"/>
    <xf numFmtId="41" fontId="52" fillId="14" borderId="35" xfId="1" applyNumberFormat="1" applyFont="1" applyFill="1" applyBorder="1"/>
    <xf numFmtId="188" fontId="63" fillId="3" borderId="123" xfId="1" applyNumberFormat="1" applyFont="1" applyFill="1" applyBorder="1"/>
    <xf numFmtId="41" fontId="53" fillId="28" borderId="121" xfId="1" applyNumberFormat="1" applyFont="1" applyFill="1" applyBorder="1"/>
    <xf numFmtId="41" fontId="53" fillId="28" borderId="218" xfId="1" applyNumberFormat="1" applyFont="1" applyFill="1" applyBorder="1"/>
    <xf numFmtId="41" fontId="8" fillId="46" borderId="81" xfId="1" applyNumberFormat="1" applyFont="1" applyFill="1" applyBorder="1"/>
    <xf numFmtId="41" fontId="8" fillId="46" borderId="219" xfId="1" applyNumberFormat="1" applyFont="1" applyFill="1" applyBorder="1"/>
    <xf numFmtId="41" fontId="8" fillId="46" borderId="35" xfId="1" applyNumberFormat="1" applyFont="1" applyFill="1" applyBorder="1" applyAlignment="1">
      <alignment vertical="center"/>
    </xf>
    <xf numFmtId="41" fontId="53" fillId="46" borderId="35" xfId="1" applyNumberFormat="1" applyFont="1" applyFill="1" applyBorder="1" applyAlignment="1">
      <alignment vertical="center"/>
    </xf>
    <xf numFmtId="41" fontId="64" fillId="8" borderId="4" xfId="1" applyNumberFormat="1" applyFont="1" applyFill="1" applyBorder="1"/>
    <xf numFmtId="0" fontId="64" fillId="32" borderId="48" xfId="0" applyFont="1" applyFill="1" applyBorder="1"/>
    <xf numFmtId="188" fontId="5" fillId="32" borderId="35" xfId="1" applyNumberFormat="1" applyFont="1" applyFill="1" applyBorder="1"/>
    <xf numFmtId="41" fontId="5" fillId="32" borderId="35" xfId="1" applyNumberFormat="1" applyFont="1" applyFill="1" applyBorder="1"/>
    <xf numFmtId="41" fontId="64" fillId="32" borderId="35" xfId="1" applyNumberFormat="1" applyFont="1" applyFill="1" applyBorder="1"/>
    <xf numFmtId="41" fontId="62" fillId="32" borderId="35" xfId="1" applyNumberFormat="1" applyFont="1" applyFill="1" applyBorder="1"/>
    <xf numFmtId="41" fontId="5" fillId="6" borderId="35" xfId="1" applyNumberFormat="1" applyFont="1" applyFill="1" applyBorder="1"/>
    <xf numFmtId="41" fontId="62" fillId="6" borderId="35" xfId="1" applyNumberFormat="1" applyFont="1" applyFill="1" applyBorder="1"/>
    <xf numFmtId="188" fontId="56" fillId="28" borderId="107" xfId="1" applyNumberFormat="1" applyFont="1" applyFill="1" applyBorder="1" applyAlignment="1">
      <alignment horizontal="center" vertical="center" wrapText="1"/>
    </xf>
    <xf numFmtId="41" fontId="50" fillId="36" borderId="1" xfId="1" applyNumberFormat="1" applyFont="1" applyFill="1" applyBorder="1"/>
    <xf numFmtId="194" fontId="56" fillId="28" borderId="129" xfId="1" applyNumberFormat="1" applyFont="1" applyFill="1" applyBorder="1" applyAlignment="1">
      <alignment horizontal="center" vertical="center" wrapText="1"/>
    </xf>
    <xf numFmtId="41" fontId="50" fillId="28" borderId="209" xfId="1" applyNumberFormat="1" applyFont="1" applyFill="1" applyBorder="1"/>
    <xf numFmtId="41" fontId="50" fillId="28" borderId="48" xfId="1" applyNumberFormat="1" applyFont="1" applyFill="1" applyBorder="1"/>
    <xf numFmtId="41" fontId="56" fillId="32" borderId="100" xfId="1" applyNumberFormat="1" applyFont="1" applyFill="1" applyBorder="1"/>
    <xf numFmtId="41" fontId="50" fillId="28" borderId="154" xfId="1" applyNumberFormat="1" applyFont="1" applyFill="1" applyBorder="1"/>
    <xf numFmtId="41" fontId="50" fillId="28" borderId="52" xfId="1" applyNumberFormat="1" applyFont="1" applyFill="1" applyBorder="1"/>
    <xf numFmtId="41" fontId="62" fillId="32" borderId="9" xfId="1" applyNumberFormat="1" applyFont="1" applyFill="1" applyBorder="1"/>
    <xf numFmtId="41" fontId="53" fillId="28" borderId="209" xfId="1" applyNumberFormat="1" applyFont="1" applyFill="1" applyBorder="1"/>
    <xf numFmtId="41" fontId="53" fillId="28" borderId="140" xfId="1" applyNumberFormat="1" applyFont="1" applyFill="1" applyBorder="1"/>
    <xf numFmtId="41" fontId="56" fillId="36" borderId="100" xfId="1" applyNumberFormat="1" applyFont="1" applyFill="1" applyBorder="1"/>
    <xf numFmtId="41" fontId="50" fillId="15" borderId="154" xfId="1" applyNumberFormat="1" applyFont="1" applyFill="1" applyBorder="1"/>
    <xf numFmtId="41" fontId="50" fillId="36" borderId="100" xfId="1" applyNumberFormat="1" applyFont="1" applyFill="1" applyBorder="1"/>
    <xf numFmtId="41" fontId="50" fillId="28" borderId="208" xfId="1" applyNumberFormat="1" applyFont="1" applyFill="1" applyBorder="1"/>
    <xf numFmtId="41" fontId="50" fillId="28" borderId="210" xfId="1" applyNumberFormat="1" applyFont="1" applyFill="1" applyBorder="1"/>
    <xf numFmtId="41" fontId="53" fillId="8" borderId="154" xfId="1" applyNumberFormat="1" applyFont="1" applyFill="1" applyBorder="1" applyAlignment="1">
      <alignment vertical="center"/>
    </xf>
    <xf numFmtId="41" fontId="62" fillId="8" borderId="210" xfId="1" applyNumberFormat="1" applyFont="1" applyFill="1" applyBorder="1"/>
    <xf numFmtId="41" fontId="53" fillId="0" borderId="48" xfId="1" applyNumberFormat="1" applyFont="1" applyFill="1" applyBorder="1"/>
    <xf numFmtId="41" fontId="62" fillId="8" borderId="48" xfId="1" applyNumberFormat="1" applyFont="1" applyFill="1" applyBorder="1" applyAlignment="1">
      <alignment vertical="center"/>
    </xf>
    <xf numFmtId="41" fontId="53" fillId="28" borderId="48" xfId="1" applyNumberFormat="1" applyFont="1" applyFill="1" applyBorder="1"/>
    <xf numFmtId="41" fontId="62" fillId="8" borderId="48" xfId="1" applyNumberFormat="1" applyFont="1" applyFill="1" applyBorder="1"/>
    <xf numFmtId="41" fontId="62" fillId="8" borderId="9" xfId="1" applyNumberFormat="1" applyFont="1" applyFill="1" applyBorder="1"/>
    <xf numFmtId="43" fontId="61" fillId="6" borderId="0" xfId="1" applyFont="1" applyFill="1" applyAlignment="1">
      <alignment horizontal="right"/>
    </xf>
    <xf numFmtId="43" fontId="61" fillId="0" borderId="0" xfId="1" applyFont="1" applyFill="1" applyAlignment="1">
      <alignment horizontal="right"/>
    </xf>
    <xf numFmtId="0" fontId="3" fillId="0" borderId="0" xfId="0" applyFont="1" applyAlignment="1">
      <alignment horizontal="left" vertical="top"/>
    </xf>
    <xf numFmtId="0" fontId="7" fillId="0" borderId="93" xfId="0" applyFont="1" applyBorder="1" applyAlignment="1">
      <alignment horizontal="left" vertical="top" wrapText="1"/>
    </xf>
    <xf numFmtId="0" fontId="6" fillId="0" borderId="93" xfId="0" applyFont="1" applyBorder="1" applyAlignment="1">
      <alignment horizontal="left" vertical="top"/>
    </xf>
    <xf numFmtId="188" fontId="8" fillId="0" borderId="93" xfId="1" applyNumberFormat="1" applyFont="1" applyFill="1" applyBorder="1" applyAlignment="1">
      <alignment horizontal="left" vertical="top"/>
    </xf>
    <xf numFmtId="188" fontId="6" fillId="0" borderId="93" xfId="1" applyNumberFormat="1" applyFont="1" applyFill="1" applyBorder="1" applyAlignment="1">
      <alignment horizontal="left" vertical="top"/>
    </xf>
    <xf numFmtId="0" fontId="6" fillId="0" borderId="93" xfId="0" applyFont="1" applyBorder="1" applyAlignment="1">
      <alignment horizontal="left" vertical="top" wrapText="1"/>
    </xf>
    <xf numFmtId="0" fontId="14" fillId="0" borderId="93" xfId="0" applyFont="1" applyBorder="1" applyAlignment="1">
      <alignment horizontal="left" vertical="top" wrapText="1"/>
    </xf>
    <xf numFmtId="43" fontId="4" fillId="0" borderId="0" xfId="0" applyNumberFormat="1" applyFont="1" applyAlignment="1">
      <alignment vertical="center"/>
    </xf>
    <xf numFmtId="188" fontId="50" fillId="0" borderId="0" xfId="0" applyNumberFormat="1" applyFont="1"/>
    <xf numFmtId="43" fontId="5" fillId="0" borderId="93" xfId="1" applyFont="1" applyFill="1" applyBorder="1"/>
    <xf numFmtId="43" fontId="4" fillId="6" borderId="0" xfId="1" applyFont="1" applyFill="1"/>
    <xf numFmtId="188" fontId="3" fillId="42" borderId="89" xfId="0" applyNumberFormat="1" applyFont="1" applyFill="1" applyBorder="1" applyAlignment="1">
      <alignment horizontal="center"/>
    </xf>
    <xf numFmtId="188" fontId="3" fillId="5" borderId="9" xfId="0" applyNumberFormat="1" applyFont="1" applyFill="1" applyBorder="1"/>
    <xf numFmtId="188" fontId="3" fillId="5" borderId="93" xfId="1" applyNumberFormat="1" applyFont="1" applyFill="1" applyBorder="1"/>
    <xf numFmtId="188" fontId="3" fillId="5" borderId="24" xfId="1" applyNumberFormat="1" applyFont="1" applyFill="1" applyBorder="1"/>
    <xf numFmtId="188" fontId="3" fillId="5" borderId="91" xfId="1" applyNumberFormat="1" applyFont="1" applyFill="1" applyBorder="1" applyAlignment="1">
      <alignment vertical="center"/>
    </xf>
    <xf numFmtId="188" fontId="4" fillId="5" borderId="9" xfId="1" applyNumberFormat="1" applyFont="1" applyFill="1" applyBorder="1"/>
    <xf numFmtId="188" fontId="3" fillId="5" borderId="0" xfId="1" applyNumberFormat="1" applyFont="1" applyFill="1" applyBorder="1"/>
    <xf numFmtId="188" fontId="4" fillId="5" borderId="21" xfId="1" applyNumberFormat="1" applyFont="1" applyFill="1" applyBorder="1" applyAlignment="1">
      <alignment horizontal="center"/>
    </xf>
    <xf numFmtId="188" fontId="4" fillId="5" borderId="11" xfId="1" applyNumberFormat="1" applyFont="1" applyFill="1" applyBorder="1" applyAlignment="1">
      <alignment horizontal="center"/>
    </xf>
    <xf numFmtId="188" fontId="4" fillId="5" borderId="4" xfId="1" applyNumberFormat="1" applyFont="1" applyFill="1" applyBorder="1" applyAlignment="1"/>
    <xf numFmtId="188" fontId="81" fillId="0" borderId="11" xfId="1" applyNumberFormat="1" applyFont="1" applyBorder="1" applyAlignment="1">
      <alignment vertical="center"/>
    </xf>
    <xf numFmtId="188" fontId="56" fillId="42" borderId="2" xfId="0" applyNumberFormat="1" applyFont="1" applyFill="1" applyBorder="1" applyAlignment="1">
      <alignment horizontal="center"/>
    </xf>
    <xf numFmtId="188" fontId="56" fillId="8" borderId="4" xfId="1" applyNumberFormat="1" applyFont="1" applyFill="1" applyBorder="1"/>
    <xf numFmtId="0" fontId="7" fillId="47" borderId="149" xfId="0" applyFont="1" applyFill="1" applyBorder="1"/>
    <xf numFmtId="188" fontId="3" fillId="47" borderId="4" xfId="1" applyNumberFormat="1" applyFont="1" applyFill="1" applyBorder="1"/>
    <xf numFmtId="43" fontId="3" fillId="47" borderId="4" xfId="1" applyFont="1" applyFill="1" applyBorder="1"/>
    <xf numFmtId="43" fontId="3" fillId="47" borderId="9" xfId="1" applyFont="1" applyFill="1" applyBorder="1"/>
    <xf numFmtId="188" fontId="3" fillId="47" borderId="5" xfId="1" applyNumberFormat="1" applyFont="1" applyFill="1" applyBorder="1"/>
    <xf numFmtId="188" fontId="3" fillId="47" borderId="93" xfId="1" applyNumberFormat="1" applyFont="1" applyFill="1" applyBorder="1"/>
    <xf numFmtId="188" fontId="3" fillId="47" borderId="21" xfId="1" applyNumberFormat="1" applyFont="1" applyFill="1" applyBorder="1"/>
    <xf numFmtId="188" fontId="3" fillId="47" borderId="11" xfId="1" applyNumberFormat="1" applyFont="1" applyFill="1" applyBorder="1" applyAlignment="1">
      <alignment horizontal="center"/>
    </xf>
    <xf numFmtId="188" fontId="3" fillId="47" borderId="4" xfId="1" applyNumberFormat="1" applyFont="1" applyFill="1" applyBorder="1" applyAlignment="1"/>
    <xf numFmtId="0" fontId="7" fillId="47" borderId="149" xfId="0" applyFont="1" applyFill="1" applyBorder="1" applyAlignment="1">
      <alignment horizontal="left"/>
    </xf>
    <xf numFmtId="188" fontId="3" fillId="47" borderId="91" xfId="1" applyNumberFormat="1" applyFont="1" applyFill="1" applyBorder="1"/>
    <xf numFmtId="0" fontId="7" fillId="5" borderId="149" xfId="0" applyFont="1" applyFill="1" applyBorder="1" applyAlignment="1">
      <alignment wrapText="1"/>
    </xf>
    <xf numFmtId="188" fontId="3" fillId="5" borderId="11" xfId="0" applyNumberFormat="1" applyFont="1" applyFill="1" applyBorder="1" applyAlignment="1">
      <alignment wrapText="1"/>
    </xf>
    <xf numFmtId="188" fontId="3" fillId="5" borderId="9" xfId="1" applyNumberFormat="1" applyFont="1" applyFill="1" applyBorder="1"/>
    <xf numFmtId="188" fontId="3" fillId="5" borderId="11" xfId="1" applyNumberFormat="1" applyFont="1" applyFill="1" applyBorder="1" applyAlignment="1">
      <alignment horizontal="center"/>
    </xf>
    <xf numFmtId="188" fontId="3" fillId="5" borderId="4" xfId="1" applyNumberFormat="1" applyFont="1" applyFill="1" applyBorder="1" applyAlignment="1"/>
    <xf numFmtId="188" fontId="3" fillId="0" borderId="9" xfId="1" applyNumberFormat="1" applyFont="1" applyFill="1" applyBorder="1"/>
    <xf numFmtId="188" fontId="3" fillId="0" borderId="21" xfId="1" applyNumberFormat="1" applyFont="1" applyFill="1" applyBorder="1" applyAlignment="1">
      <alignment horizontal="center"/>
    </xf>
    <xf numFmtId="188" fontId="3" fillId="0" borderId="11" xfId="1" applyNumberFormat="1" applyFont="1" applyFill="1" applyBorder="1" applyAlignment="1">
      <alignment horizontal="center"/>
    </xf>
    <xf numFmtId="188" fontId="3" fillId="0" borderId="4" xfId="1" applyNumberFormat="1" applyFont="1" applyFill="1" applyBorder="1" applyAlignment="1"/>
    <xf numFmtId="188" fontId="3" fillId="42" borderId="91" xfId="1" applyNumberFormat="1" applyFont="1" applyFill="1" applyBorder="1"/>
    <xf numFmtId="188" fontId="4" fillId="42" borderId="4" xfId="1" applyNumberFormat="1" applyFont="1" applyFill="1" applyBorder="1" applyAlignment="1"/>
    <xf numFmtId="43" fontId="4" fillId="42" borderId="9" xfId="1" applyFont="1" applyFill="1" applyBorder="1"/>
    <xf numFmtId="188" fontId="7" fillId="5" borderId="149" xfId="1" applyNumberFormat="1" applyFont="1" applyFill="1" applyBorder="1" applyAlignment="1">
      <alignment vertical="center" wrapText="1"/>
    </xf>
    <xf numFmtId="0" fontId="7" fillId="5" borderId="149" xfId="1" applyNumberFormat="1" applyFont="1" applyFill="1" applyBorder="1" applyAlignment="1">
      <alignment vertical="center" wrapText="1"/>
    </xf>
    <xf numFmtId="188" fontId="3" fillId="48" borderId="21" xfId="1" applyNumberFormat="1" applyFont="1" applyFill="1" applyBorder="1" applyAlignment="1">
      <alignment vertical="center"/>
    </xf>
    <xf numFmtId="188" fontId="3" fillId="48" borderId="24" xfId="1" applyNumberFormat="1" applyFont="1" applyFill="1" applyBorder="1" applyAlignment="1">
      <alignment vertical="center"/>
    </xf>
    <xf numFmtId="188" fontId="3" fillId="48" borderId="4" xfId="1" applyNumberFormat="1" applyFont="1" applyFill="1" applyBorder="1" applyAlignment="1">
      <alignment vertical="center"/>
    </xf>
    <xf numFmtId="188" fontId="3" fillId="48" borderId="11" xfId="1" applyNumberFormat="1" applyFont="1" applyFill="1" applyBorder="1" applyAlignment="1">
      <alignment vertical="center"/>
    </xf>
    <xf numFmtId="43" fontId="3" fillId="48" borderId="4" xfId="1" applyFont="1" applyFill="1" applyBorder="1" applyAlignment="1">
      <alignment vertical="center"/>
    </xf>
    <xf numFmtId="43" fontId="3" fillId="48" borderId="9" xfId="1" applyFont="1" applyFill="1" applyBorder="1" applyAlignment="1">
      <alignment vertical="center"/>
    </xf>
    <xf numFmtId="188" fontId="3" fillId="48" borderId="5" xfId="1" applyNumberFormat="1" applyFont="1" applyFill="1" applyBorder="1" applyAlignment="1">
      <alignment vertical="center"/>
    </xf>
    <xf numFmtId="0" fontId="6" fillId="0" borderId="149" xfId="0" applyFont="1" applyBorder="1" applyAlignment="1">
      <alignment horizontal="center" vertical="center" wrapText="1"/>
    </xf>
    <xf numFmtId="0" fontId="7" fillId="42" borderId="149" xfId="0" applyFont="1" applyFill="1" applyBorder="1" applyAlignment="1">
      <alignment horizontal="center"/>
    </xf>
    <xf numFmtId="188" fontId="3" fillId="42" borderId="21" xfId="1" applyNumberFormat="1" applyFont="1" applyFill="1" applyBorder="1" applyAlignment="1">
      <alignment horizontal="center"/>
    </xf>
    <xf numFmtId="188" fontId="3" fillId="42" borderId="11" xfId="1" applyNumberFormat="1" applyFont="1" applyFill="1" applyBorder="1" applyAlignment="1">
      <alignment horizontal="center"/>
    </xf>
    <xf numFmtId="188" fontId="3" fillId="5" borderId="21" xfId="1" applyNumberFormat="1" applyFont="1" applyFill="1" applyBorder="1" applyAlignment="1">
      <alignment horizontal="center"/>
    </xf>
    <xf numFmtId="188" fontId="3" fillId="47" borderId="9" xfId="1" applyNumberFormat="1" applyFont="1" applyFill="1" applyBorder="1"/>
    <xf numFmtId="188" fontId="3" fillId="47" borderId="5" xfId="0" applyNumberFormat="1" applyFont="1" applyFill="1" applyBorder="1"/>
    <xf numFmtId="188" fontId="3" fillId="47" borderId="21" xfId="1" applyNumberFormat="1" applyFont="1" applyFill="1" applyBorder="1" applyAlignment="1">
      <alignment horizontal="center"/>
    </xf>
    <xf numFmtId="188" fontId="3" fillId="42" borderId="9" xfId="1" applyNumberFormat="1" applyFont="1" applyFill="1" applyBorder="1"/>
    <xf numFmtId="0" fontId="6" fillId="0" borderId="149" xfId="0" applyFont="1" applyBorder="1" applyAlignment="1">
      <alignment horizontal="center" wrapText="1"/>
    </xf>
    <xf numFmtId="188" fontId="88" fillId="0" borderId="91" xfId="1" applyNumberFormat="1" applyFont="1" applyFill="1" applyBorder="1" applyAlignment="1">
      <alignment vertical="center"/>
    </xf>
    <xf numFmtId="188" fontId="56" fillId="0" borderId="60" xfId="1" applyNumberFormat="1" applyFont="1" applyFill="1" applyBorder="1"/>
    <xf numFmtId="188" fontId="56" fillId="5" borderId="11" xfId="1" applyNumberFormat="1" applyFont="1" applyFill="1" applyBorder="1"/>
    <xf numFmtId="188" fontId="56" fillId="5" borderId="4" xfId="1" applyNumberFormat="1" applyFont="1" applyFill="1" applyBorder="1"/>
    <xf numFmtId="0" fontId="8" fillId="0" borderId="93" xfId="0" applyFont="1" applyBorder="1" applyAlignment="1">
      <alignment horizontal="left" vertical="top" wrapText="1"/>
    </xf>
    <xf numFmtId="0" fontId="5" fillId="0" borderId="149" xfId="0" applyFont="1" applyBorder="1" applyAlignment="1">
      <alignment vertical="center" wrapText="1"/>
    </xf>
    <xf numFmtId="0" fontId="42" fillId="0" borderId="149" xfId="0" applyFont="1" applyBorder="1" applyAlignment="1">
      <alignment vertical="center"/>
    </xf>
    <xf numFmtId="188" fontId="3" fillId="0" borderId="4" xfId="1" applyNumberFormat="1" applyFont="1" applyFill="1" applyBorder="1" applyAlignment="1">
      <alignment vertical="center"/>
    </xf>
    <xf numFmtId="188" fontId="3" fillId="0" borderId="9" xfId="1" applyNumberFormat="1" applyFont="1" applyFill="1" applyBorder="1" applyAlignment="1">
      <alignment vertical="center"/>
    </xf>
    <xf numFmtId="188" fontId="3" fillId="0" borderId="5" xfId="0" applyNumberFormat="1" applyFont="1" applyBorder="1" applyAlignment="1">
      <alignment vertical="center"/>
    </xf>
    <xf numFmtId="188" fontId="3" fillId="0" borderId="91" xfId="1" applyNumberFormat="1" applyFont="1" applyFill="1" applyBorder="1" applyAlignment="1">
      <alignment vertical="center"/>
    </xf>
    <xf numFmtId="188" fontId="4" fillId="0" borderId="4" xfId="1" applyNumberFormat="1" applyFont="1" applyFill="1" applyBorder="1" applyAlignment="1">
      <alignment vertical="center"/>
    </xf>
    <xf numFmtId="43" fontId="3" fillId="0" borderId="4" xfId="1" applyFont="1" applyFill="1" applyBorder="1" applyAlignment="1">
      <alignment vertical="center"/>
    </xf>
    <xf numFmtId="188" fontId="3" fillId="0" borderId="21" xfId="1" applyNumberFormat="1" applyFont="1" applyFill="1" applyBorder="1" applyAlignment="1">
      <alignment horizontal="center" vertical="center"/>
    </xf>
    <xf numFmtId="188" fontId="3" fillId="0" borderId="11" xfId="1" applyNumberFormat="1" applyFont="1" applyFill="1" applyBorder="1" applyAlignment="1">
      <alignment horizontal="center" vertical="center"/>
    </xf>
    <xf numFmtId="188" fontId="4" fillId="0" borderId="9" xfId="1" applyNumberFormat="1" applyFont="1" applyFill="1" applyBorder="1" applyAlignment="1">
      <alignment vertical="center"/>
    </xf>
    <xf numFmtId="43" fontId="4" fillId="0" borderId="9" xfId="1" applyFont="1" applyFill="1" applyBorder="1" applyAlignment="1">
      <alignment vertical="center"/>
    </xf>
    <xf numFmtId="2" fontId="3" fillId="0" borderId="4" xfId="1" applyNumberFormat="1" applyFont="1" applyBorder="1"/>
    <xf numFmtId="188" fontId="56" fillId="8" borderId="11" xfId="1" applyNumberFormat="1" applyFont="1" applyFill="1" applyBorder="1"/>
    <xf numFmtId="188" fontId="56" fillId="8" borderId="9" xfId="1" applyNumberFormat="1" applyFont="1" applyFill="1" applyBorder="1"/>
    <xf numFmtId="188" fontId="56" fillId="8" borderId="91" xfId="1" applyNumberFormat="1" applyFont="1" applyFill="1" applyBorder="1"/>
    <xf numFmtId="188" fontId="56" fillId="8" borderId="5" xfId="1" applyNumberFormat="1" applyFont="1" applyFill="1" applyBorder="1"/>
    <xf numFmtId="43" fontId="56" fillId="8" borderId="4" xfId="1" applyFont="1" applyFill="1" applyBorder="1"/>
    <xf numFmtId="188" fontId="56" fillId="42" borderId="89" xfId="0" applyNumberFormat="1" applyFont="1" applyFill="1" applyBorder="1" applyAlignment="1">
      <alignment horizontal="center"/>
    </xf>
    <xf numFmtId="188" fontId="56" fillId="42" borderId="6" xfId="0" applyNumberFormat="1" applyFont="1" applyFill="1" applyBorder="1" applyAlignment="1">
      <alignment horizontal="center"/>
    </xf>
    <xf numFmtId="188" fontId="56" fillId="42" borderId="90" xfId="0" applyNumberFormat="1" applyFont="1" applyFill="1" applyBorder="1" applyAlignment="1">
      <alignment horizontal="center"/>
    </xf>
    <xf numFmtId="188" fontId="56" fillId="42" borderId="3" xfId="0" applyNumberFormat="1" applyFont="1" applyFill="1" applyBorder="1" applyAlignment="1">
      <alignment horizontal="center"/>
    </xf>
    <xf numFmtId="43" fontId="56" fillId="42" borderId="2" xfId="0" applyNumberFormat="1" applyFont="1" applyFill="1" applyBorder="1" applyAlignment="1">
      <alignment horizontal="center"/>
    </xf>
    <xf numFmtId="43" fontId="4" fillId="45" borderId="0" xfId="1" applyFont="1" applyFill="1"/>
    <xf numFmtId="43" fontId="4" fillId="6" borderId="0" xfId="1" applyFont="1" applyFill="1" applyAlignment="1">
      <alignment horizontal="right"/>
    </xf>
    <xf numFmtId="40" fontId="4" fillId="45" borderId="0" xfId="1" applyNumberFormat="1" applyFont="1" applyFill="1"/>
    <xf numFmtId="188" fontId="4" fillId="45" borderId="0" xfId="1" applyNumberFormat="1" applyFont="1" applyFill="1"/>
    <xf numFmtId="0" fontId="4" fillId="44" borderId="0" xfId="0" applyFont="1" applyFill="1" applyAlignment="1">
      <alignment horizontal="right"/>
    </xf>
    <xf numFmtId="43" fontId="4" fillId="44" borderId="0" xfId="1" applyFont="1" applyFill="1"/>
    <xf numFmtId="43" fontId="4" fillId="46" borderId="0" xfId="1" applyFont="1" applyFill="1"/>
    <xf numFmtId="43" fontId="56" fillId="0" borderId="1" xfId="1" applyFont="1" applyFill="1" applyBorder="1" applyAlignment="1">
      <alignment horizontal="center"/>
    </xf>
    <xf numFmtId="0" fontId="4" fillId="46" borderId="0" xfId="0" applyFont="1" applyFill="1" applyAlignment="1">
      <alignment horizontal="right"/>
    </xf>
    <xf numFmtId="187" fontId="3" fillId="46" borderId="0" xfId="0" applyNumberFormat="1" applyFont="1" applyFill="1"/>
    <xf numFmtId="188" fontId="7" fillId="0" borderId="0" xfId="1" applyNumberFormat="1" applyFont="1" applyAlignment="1">
      <alignment horizontal="center" vertical="center"/>
    </xf>
    <xf numFmtId="43" fontId="3" fillId="0" borderId="224" xfId="1" applyFont="1" applyFill="1" applyBorder="1" applyAlignment="1">
      <alignment horizontal="center"/>
    </xf>
    <xf numFmtId="43" fontId="3" fillId="0" borderId="225" xfId="1" applyFont="1" applyFill="1" applyBorder="1" applyAlignment="1">
      <alignment horizontal="center"/>
    </xf>
    <xf numFmtId="43" fontId="3" fillId="0" borderId="226" xfId="1" applyFont="1" applyFill="1" applyBorder="1" applyAlignment="1">
      <alignment horizontal="center"/>
    </xf>
    <xf numFmtId="43" fontId="3" fillId="0" borderId="227" xfId="1" applyFont="1" applyFill="1" applyBorder="1"/>
    <xf numFmtId="43" fontId="4" fillId="0" borderId="224" xfId="1" applyFont="1" applyFill="1" applyBorder="1"/>
    <xf numFmtId="43" fontId="3" fillId="0" borderId="225" xfId="1" applyFont="1" applyFill="1" applyBorder="1"/>
    <xf numFmtId="43" fontId="4" fillId="0" borderId="225" xfId="1" applyFont="1" applyFill="1" applyBorder="1"/>
    <xf numFmtId="43" fontId="3" fillId="0" borderId="87" xfId="1" applyFont="1" applyFill="1" applyBorder="1" applyAlignment="1">
      <alignment horizontal="center" vertical="center"/>
    </xf>
    <xf numFmtId="0" fontId="3" fillId="0" borderId="234" xfId="0" applyFont="1" applyBorder="1" applyAlignment="1">
      <alignment horizontal="center"/>
    </xf>
    <xf numFmtId="0" fontId="3" fillId="0" borderId="228" xfId="0" applyFont="1" applyBorder="1"/>
    <xf numFmtId="0" fontId="4" fillId="0" borderId="232" xfId="0" applyFont="1" applyBorder="1"/>
    <xf numFmtId="0" fontId="3" fillId="0" borderId="232" xfId="0" applyFont="1" applyBorder="1"/>
    <xf numFmtId="188" fontId="4" fillId="0" borderId="232" xfId="1" applyNumberFormat="1" applyFont="1" applyFill="1" applyBorder="1"/>
    <xf numFmtId="188" fontId="3" fillId="0" borderId="232" xfId="1" applyNumberFormat="1" applyFont="1" applyFill="1" applyBorder="1"/>
    <xf numFmtId="0" fontId="4" fillId="0" borderId="235" xfId="0" applyFont="1" applyBorder="1"/>
    <xf numFmtId="188" fontId="4" fillId="0" borderId="101" xfId="1" applyNumberFormat="1" applyFont="1" applyFill="1" applyBorder="1"/>
    <xf numFmtId="43" fontId="4" fillId="0" borderId="101" xfId="1" applyFont="1" applyFill="1" applyBorder="1"/>
    <xf numFmtId="43" fontId="4" fillId="8" borderId="101" xfId="1" applyFont="1" applyFill="1" applyBorder="1"/>
    <xf numFmtId="43" fontId="4" fillId="5" borderId="101" xfId="1" applyFont="1" applyFill="1" applyBorder="1"/>
    <xf numFmtId="39" fontId="4" fillId="0" borderId="101" xfId="1" applyNumberFormat="1" applyFont="1" applyFill="1" applyBorder="1"/>
    <xf numFmtId="43" fontId="4" fillId="0" borderId="236" xfId="1" applyFont="1" applyFill="1" applyBorder="1"/>
    <xf numFmtId="43" fontId="3" fillId="0" borderId="228" xfId="1" applyFont="1" applyFill="1" applyBorder="1" applyAlignment="1">
      <alignment horizontal="center" vertical="center"/>
    </xf>
    <xf numFmtId="43" fontId="3" fillId="0" borderId="232" xfId="1" applyFont="1" applyFill="1" applyBorder="1" applyAlignment="1">
      <alignment horizontal="center" vertical="center"/>
    </xf>
    <xf numFmtId="188" fontId="3" fillId="6" borderId="234" xfId="1" applyNumberFormat="1" applyFont="1" applyFill="1" applyBorder="1" applyAlignment="1">
      <alignment horizontal="center"/>
    </xf>
    <xf numFmtId="43" fontId="3" fillId="0" borderId="237" xfId="1" applyFont="1" applyFill="1" applyBorder="1" applyAlignment="1">
      <alignment horizontal="center"/>
    </xf>
    <xf numFmtId="188" fontId="3" fillId="0" borderId="238" xfId="1" applyNumberFormat="1" applyFont="1" applyFill="1" applyBorder="1"/>
    <xf numFmtId="188" fontId="4" fillId="0" borderId="239" xfId="1" applyNumberFormat="1" applyFont="1" applyFill="1" applyBorder="1"/>
    <xf numFmtId="43" fontId="4" fillId="0" borderId="145" xfId="1" applyFont="1" applyFill="1" applyBorder="1"/>
    <xf numFmtId="188" fontId="3" fillId="0" borderId="233" xfId="1" applyNumberFormat="1" applyFont="1" applyFill="1" applyBorder="1"/>
    <xf numFmtId="188" fontId="50" fillId="0" borderId="232" xfId="1" applyNumberFormat="1" applyFont="1" applyFill="1" applyBorder="1"/>
    <xf numFmtId="188" fontId="4" fillId="0" borderId="235" xfId="1" applyNumberFormat="1" applyFont="1" applyFill="1" applyBorder="1"/>
    <xf numFmtId="40" fontId="4" fillId="0" borderId="101" xfId="1" applyNumberFormat="1" applyFont="1" applyFill="1" applyBorder="1"/>
    <xf numFmtId="43" fontId="4" fillId="0" borderId="240" xfId="1" applyFont="1" applyFill="1" applyBorder="1"/>
    <xf numFmtId="43" fontId="54" fillId="0" borderId="0" xfId="1" applyFont="1"/>
    <xf numFmtId="43" fontId="3" fillId="0" borderId="0" xfId="0" applyNumberFormat="1" applyFont="1"/>
    <xf numFmtId="0" fontId="6" fillId="0" borderId="149" xfId="0" applyFont="1" applyBorder="1" applyAlignment="1">
      <alignment horizontal="center" vertical="center"/>
    </xf>
    <xf numFmtId="0" fontId="7" fillId="48" borderId="149" xfId="0" applyFont="1" applyFill="1" applyBorder="1" applyAlignment="1">
      <alignment wrapText="1"/>
    </xf>
    <xf numFmtId="188" fontId="3" fillId="0" borderId="11" xfId="1" applyNumberFormat="1" applyFont="1" applyFill="1" applyBorder="1" applyAlignment="1">
      <alignment vertical="center"/>
    </xf>
    <xf numFmtId="188" fontId="3" fillId="0" borderId="21" xfId="1" applyNumberFormat="1" applyFont="1" applyFill="1" applyBorder="1" applyAlignment="1">
      <alignment vertical="center"/>
    </xf>
    <xf numFmtId="0" fontId="7" fillId="0" borderId="149" xfId="0" applyFont="1" applyBorder="1" applyAlignment="1">
      <alignment horizontal="left" vertical="center" wrapText="1"/>
    </xf>
    <xf numFmtId="0" fontId="7" fillId="0" borderId="149" xfId="0" applyFont="1" applyBorder="1" applyAlignment="1">
      <alignment horizontal="left" vertical="center"/>
    </xf>
    <xf numFmtId="43" fontId="54" fillId="0" borderId="23" xfId="1" applyFont="1" applyFill="1" applyBorder="1"/>
    <xf numFmtId="188" fontId="5" fillId="0" borderId="242" xfId="1" applyNumberFormat="1" applyFont="1" applyBorder="1" applyAlignment="1">
      <alignment horizontal="center" vertical="center"/>
    </xf>
    <xf numFmtId="188" fontId="5" fillId="0" borderId="243" xfId="1" applyNumberFormat="1" applyFont="1" applyBorder="1" applyAlignment="1">
      <alignment horizontal="center" vertical="center"/>
    </xf>
    <xf numFmtId="0" fontId="8" fillId="0" borderId="243" xfId="0" applyFont="1" applyBorder="1" applyAlignment="1">
      <alignment horizontal="center" vertical="center"/>
    </xf>
    <xf numFmtId="0" fontId="5" fillId="0" borderId="243" xfId="0" applyFont="1" applyBorder="1" applyAlignment="1">
      <alignment horizontal="center" vertical="center"/>
    </xf>
    <xf numFmtId="189" fontId="53" fillId="0" borderId="9" xfId="1" applyNumberFormat="1" applyFont="1" applyFill="1" applyBorder="1" applyAlignment="1">
      <alignment horizontal="right" vertical="center"/>
    </xf>
    <xf numFmtId="189" fontId="62" fillId="0" borderId="1" xfId="1" applyNumberFormat="1" applyFont="1" applyBorder="1" applyAlignment="1">
      <alignment horizontal="right"/>
    </xf>
    <xf numFmtId="188" fontId="53" fillId="0" borderId="2" xfId="1" applyNumberFormat="1" applyFont="1" applyBorder="1"/>
    <xf numFmtId="189" fontId="62" fillId="0" borderId="9" xfId="1" applyNumberFormat="1" applyFont="1" applyBorder="1" applyAlignment="1">
      <alignment horizontal="right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right" vertical="center"/>
    </xf>
    <xf numFmtId="43" fontId="61" fillId="0" borderId="69" xfId="1" applyFont="1" applyBorder="1" applyAlignment="1">
      <alignment horizontal="center"/>
    </xf>
    <xf numFmtId="43" fontId="61" fillId="0" borderId="23" xfId="1" applyFont="1" applyBorder="1" applyAlignment="1">
      <alignment horizontal="center"/>
    </xf>
    <xf numFmtId="43" fontId="61" fillId="0" borderId="19" xfId="1" applyFont="1" applyBorder="1" applyAlignment="1">
      <alignment horizontal="center"/>
    </xf>
    <xf numFmtId="43" fontId="61" fillId="0" borderId="78" xfId="1" applyFont="1" applyFill="1" applyBorder="1"/>
    <xf numFmtId="43" fontId="61" fillId="0" borderId="86" xfId="1" applyFont="1" applyBorder="1"/>
    <xf numFmtId="43" fontId="61" fillId="0" borderId="21" xfId="1" applyFont="1" applyBorder="1"/>
    <xf numFmtId="43" fontId="61" fillId="0" borderId="76" xfId="1" applyFont="1" applyBorder="1"/>
    <xf numFmtId="43" fontId="54" fillId="0" borderId="76" xfId="1" applyFont="1" applyBorder="1"/>
    <xf numFmtId="43" fontId="61" fillId="0" borderId="77" xfId="1" applyFont="1" applyBorder="1" applyAlignment="1">
      <alignment vertical="center"/>
    </xf>
    <xf numFmtId="43" fontId="61" fillId="0" borderId="0" xfId="1" applyFont="1" applyBorder="1" applyAlignment="1">
      <alignment vertical="center"/>
    </xf>
    <xf numFmtId="43" fontId="61" fillId="0" borderId="0" xfId="1" applyFont="1" applyFill="1" applyBorder="1" applyAlignment="1">
      <alignment vertical="center"/>
    </xf>
    <xf numFmtId="43" fontId="54" fillId="0" borderId="0" xfId="1" applyFont="1" applyFill="1" applyAlignment="1">
      <alignment horizontal="right"/>
    </xf>
    <xf numFmtId="188" fontId="56" fillId="0" borderId="1" xfId="1" applyNumberFormat="1" applyFont="1" applyFill="1" applyBorder="1" applyAlignment="1">
      <alignment horizontal="center"/>
    </xf>
    <xf numFmtId="0" fontId="6" fillId="0" borderId="149" xfId="0" applyFont="1" applyBorder="1" applyAlignment="1">
      <alignment horizontal="left" vertical="center" wrapText="1"/>
    </xf>
    <xf numFmtId="188" fontId="3" fillId="8" borderId="244" xfId="0" applyNumberFormat="1" applyFont="1" applyFill="1" applyBorder="1" applyAlignment="1">
      <alignment vertical="center"/>
    </xf>
    <xf numFmtId="188" fontId="4" fillId="46" borderId="4" xfId="1" applyNumberFormat="1" applyFont="1" applyFill="1" applyBorder="1"/>
    <xf numFmtId="43" fontId="4" fillId="45" borderId="0" xfId="0" applyNumberFormat="1" applyFont="1" applyFill="1" applyAlignment="1">
      <alignment horizontal="right"/>
    </xf>
    <xf numFmtId="0" fontId="7" fillId="47" borderId="248" xfId="0" applyFont="1" applyFill="1" applyBorder="1" applyAlignment="1">
      <alignment horizontal="center" vertical="center"/>
    </xf>
    <xf numFmtId="43" fontId="5" fillId="47" borderId="170" xfId="1" applyFont="1" applyFill="1" applyBorder="1" applyAlignment="1">
      <alignment horizontal="center" vertical="center"/>
    </xf>
    <xf numFmtId="188" fontId="5" fillId="0" borderId="243" xfId="1" applyNumberFormat="1" applyFont="1" applyBorder="1"/>
    <xf numFmtId="43" fontId="5" fillId="0" borderId="243" xfId="1" applyFont="1" applyBorder="1" applyAlignment="1">
      <alignment horizontal="center" vertical="center"/>
    </xf>
    <xf numFmtId="3" fontId="5" fillId="0" borderId="243" xfId="0" applyNumberFormat="1" applyFont="1" applyBorder="1"/>
    <xf numFmtId="43" fontId="5" fillId="0" borderId="4" xfId="1" applyFont="1" applyBorder="1"/>
    <xf numFmtId="188" fontId="5" fillId="0" borderId="4" xfId="1" applyNumberFormat="1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0" fontId="53" fillId="0" borderId="0" xfId="0" applyFont="1" applyAlignment="1">
      <alignment horizontal="left"/>
    </xf>
    <xf numFmtId="188" fontId="5" fillId="0" borderId="0" xfId="1" applyNumberFormat="1" applyFont="1" applyFill="1"/>
    <xf numFmtId="187" fontId="3" fillId="0" borderId="0" xfId="0" applyNumberFormat="1" applyFont="1"/>
    <xf numFmtId="0" fontId="53" fillId="0" borderId="0" xfId="0" applyFont="1" applyAlignment="1">
      <alignment horizontal="left" vertical="center"/>
    </xf>
    <xf numFmtId="43" fontId="57" fillId="0" borderId="0" xfId="1" applyFont="1" applyFill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Fill="1" applyAlignment="1">
      <alignment vertical="center"/>
    </xf>
    <xf numFmtId="188" fontId="58" fillId="0" borderId="0" xfId="7" applyNumberFormat="1" applyFont="1" applyFill="1" applyBorder="1"/>
    <xf numFmtId="188" fontId="3" fillId="0" borderId="11" xfId="1" applyNumberFormat="1" applyFont="1" applyBorder="1" applyAlignment="1">
      <alignment horizontal="center" vertical="center"/>
    </xf>
    <xf numFmtId="188" fontId="3" fillId="0" borderId="11" xfId="1" applyNumberFormat="1" applyFont="1" applyBorder="1" applyAlignment="1">
      <alignment vertical="center"/>
    </xf>
    <xf numFmtId="43" fontId="3" fillId="0" borderId="4" xfId="1" applyFont="1" applyBorder="1" applyAlignment="1">
      <alignment vertical="center"/>
    </xf>
    <xf numFmtId="43" fontId="3" fillId="0" borderId="9" xfId="1" applyFont="1" applyBorder="1" applyAlignment="1">
      <alignment vertical="center"/>
    </xf>
    <xf numFmtId="188" fontId="3" fillId="0" borderId="4" xfId="1" applyNumberFormat="1" applyFont="1" applyBorder="1" applyAlignment="1"/>
    <xf numFmtId="188" fontId="4" fillId="0" borderId="11" xfId="1" applyNumberFormat="1" applyFont="1" applyFill="1" applyBorder="1" applyAlignment="1">
      <alignment horizontal="center"/>
    </xf>
    <xf numFmtId="188" fontId="3" fillId="0" borderId="4" xfId="1" applyNumberFormat="1" applyFont="1" applyBorder="1" applyAlignment="1">
      <alignment vertical="center"/>
    </xf>
    <xf numFmtId="188" fontId="3" fillId="0" borderId="0" xfId="1" applyNumberFormat="1" applyFont="1" applyFill="1" applyBorder="1" applyAlignment="1">
      <alignment vertical="center"/>
    </xf>
    <xf numFmtId="188" fontId="3" fillId="48" borderId="5" xfId="0" applyNumberFormat="1" applyFont="1" applyFill="1" applyBorder="1" applyAlignment="1">
      <alignment vertical="center"/>
    </xf>
    <xf numFmtId="188" fontId="3" fillId="48" borderId="0" xfId="1" applyNumberFormat="1" applyFont="1" applyFill="1" applyBorder="1" applyAlignment="1">
      <alignment vertical="center"/>
    </xf>
    <xf numFmtId="43" fontId="7" fillId="0" borderId="0" xfId="1" applyFont="1" applyFill="1" applyAlignment="1">
      <alignment vertical="center"/>
    </xf>
    <xf numFmtId="0" fontId="62" fillId="0" borderId="8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188" fontId="5" fillId="0" borderId="6" xfId="1" applyNumberFormat="1" applyFont="1" applyFill="1" applyBorder="1" applyAlignment="1">
      <alignment horizontal="center" vertical="center"/>
    </xf>
    <xf numFmtId="192" fontId="5" fillId="0" borderId="2" xfId="1" applyNumberFormat="1" applyFont="1" applyFill="1" applyBorder="1" applyAlignment="1">
      <alignment horizontal="center" vertical="center"/>
    </xf>
    <xf numFmtId="188" fontId="5" fillId="0" borderId="2" xfId="1" applyNumberFormat="1" applyFont="1" applyFill="1" applyBorder="1" applyAlignment="1">
      <alignment horizontal="center" vertical="center"/>
    </xf>
    <xf numFmtId="188" fontId="5" fillId="0" borderId="2" xfId="1" applyNumberFormat="1" applyFont="1" applyBorder="1" applyAlignment="1">
      <alignment horizontal="center" vertical="center"/>
    </xf>
    <xf numFmtId="188" fontId="5" fillId="0" borderId="3" xfId="1" applyNumberFormat="1" applyFont="1" applyBorder="1" applyAlignment="1">
      <alignment horizontal="center" vertical="center"/>
    </xf>
    <xf numFmtId="0" fontId="62" fillId="0" borderId="10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8" fontId="5" fillId="0" borderId="7" xfId="1" applyNumberFormat="1" applyFont="1" applyFill="1" applyBorder="1" applyAlignment="1">
      <alignment horizontal="center" vertical="center"/>
    </xf>
    <xf numFmtId="192" fontId="5" fillId="0" borderId="1" xfId="1" applyNumberFormat="1" applyFont="1" applyFill="1" applyBorder="1" applyAlignment="1">
      <alignment horizontal="center" vertical="center"/>
    </xf>
    <xf numFmtId="188" fontId="5" fillId="0" borderId="1" xfId="1" applyNumberFormat="1" applyFont="1" applyFill="1" applyBorder="1" applyAlignment="1">
      <alignment horizontal="center" vertical="center"/>
    </xf>
    <xf numFmtId="188" fontId="5" fillId="0" borderId="8" xfId="1" applyNumberFormat="1" applyFont="1" applyBorder="1" applyAlignment="1">
      <alignment horizontal="center" vertical="center"/>
    </xf>
    <xf numFmtId="188" fontId="53" fillId="0" borderId="243" xfId="1" applyNumberFormat="1" applyFont="1" applyBorder="1" applyAlignment="1">
      <alignment horizontal="right"/>
    </xf>
    <xf numFmtId="188" fontId="5" fillId="0" borderId="243" xfId="1" applyNumberFormat="1" applyFont="1" applyFill="1" applyBorder="1"/>
    <xf numFmtId="188" fontId="8" fillId="0" borderId="243" xfId="1" applyNumberFormat="1" applyFont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8" fillId="0" borderId="4" xfId="1" applyFont="1" applyFill="1" applyBorder="1" applyAlignment="1">
      <alignment horizontal="center" vertical="center"/>
    </xf>
    <xf numFmtId="43" fontId="8" fillId="0" borderId="11" xfId="1" applyFont="1" applyBorder="1" applyAlignment="1">
      <alignment horizontal="center" vertical="center"/>
    </xf>
    <xf numFmtId="43" fontId="8" fillId="0" borderId="5" xfId="1" applyFont="1" applyFill="1" applyBorder="1" applyAlignment="1">
      <alignment horizontal="center" vertical="center"/>
    </xf>
    <xf numFmtId="189" fontId="53" fillId="0" borderId="9" xfId="1" applyNumberFormat="1" applyFont="1" applyBorder="1" applyAlignment="1">
      <alignment horizontal="right" vertical="center"/>
    </xf>
    <xf numFmtId="188" fontId="8" fillId="0" borderId="5" xfId="1" applyNumberFormat="1" applyFont="1" applyBorder="1" applyAlignment="1">
      <alignment horizontal="center" vertical="center"/>
    </xf>
    <xf numFmtId="189" fontId="5" fillId="47" borderId="249" xfId="1" applyNumberFormat="1" applyFont="1" applyFill="1" applyBorder="1" applyAlignment="1">
      <alignment horizontal="right" vertical="center"/>
    </xf>
    <xf numFmtId="43" fontId="5" fillId="47" borderId="250" xfId="1" applyFont="1" applyFill="1" applyBorder="1" applyAlignment="1">
      <alignment horizontal="center" vertical="center"/>
    </xf>
    <xf numFmtId="43" fontId="5" fillId="47" borderId="251" xfId="1" applyFont="1" applyFill="1" applyBorder="1" applyAlignment="1">
      <alignment horizontal="center" vertical="center"/>
    </xf>
    <xf numFmtId="43" fontId="5" fillId="0" borderId="9" xfId="0" applyNumberFormat="1" applyFont="1" applyBorder="1" applyAlignment="1">
      <alignment horizontal="center" vertical="center"/>
    </xf>
    <xf numFmtId="43" fontId="5" fillId="0" borderId="9" xfId="0" applyNumberFormat="1" applyFont="1" applyBorder="1" applyAlignment="1">
      <alignment vertical="center"/>
    </xf>
    <xf numFmtId="43" fontId="8" fillId="0" borderId="9" xfId="0" applyNumberFormat="1" applyFont="1" applyBorder="1" applyAlignment="1">
      <alignment vertical="center"/>
    </xf>
    <xf numFmtId="188" fontId="8" fillId="0" borderId="0" xfId="0" applyNumberFormat="1" applyFont="1" applyAlignment="1">
      <alignment vertical="center"/>
    </xf>
    <xf numFmtId="0" fontId="62" fillId="0" borderId="0" xfId="0" applyFont="1" applyAlignment="1">
      <alignment horizontal="left"/>
    </xf>
    <xf numFmtId="0" fontId="53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188" fontId="5" fillId="2" borderId="0" xfId="0" applyNumberFormat="1" applyFont="1" applyFill="1" applyAlignment="1">
      <alignment horizontal="center" vertical="center"/>
    </xf>
    <xf numFmtId="192" fontId="8" fillId="0" borderId="0" xfId="0" applyNumberFormat="1" applyFont="1"/>
    <xf numFmtId="43" fontId="5" fillId="0" borderId="0" xfId="1" applyFont="1" applyFill="1" applyBorder="1"/>
    <xf numFmtId="192" fontId="5" fillId="0" borderId="0" xfId="0" applyNumberFormat="1" applyFont="1" applyAlignment="1">
      <alignment vertical="center"/>
    </xf>
    <xf numFmtId="0" fontId="7" fillId="46" borderId="1" xfId="0" applyFont="1" applyFill="1" applyBorder="1" applyAlignment="1">
      <alignment horizontal="center" vertical="center"/>
    </xf>
    <xf numFmtId="188" fontId="62" fillId="46" borderId="100" xfId="1" applyNumberFormat="1" applyFont="1" applyFill="1" applyBorder="1" applyAlignment="1">
      <alignment horizontal="right" vertical="center"/>
    </xf>
    <xf numFmtId="188" fontId="5" fillId="46" borderId="8" xfId="0" applyNumberFormat="1" applyFont="1" applyFill="1" applyBorder="1" applyAlignment="1">
      <alignment horizontal="center" vertical="center"/>
    </xf>
    <xf numFmtId="43" fontId="5" fillId="46" borderId="245" xfId="0" applyNumberFormat="1" applyFont="1" applyFill="1" applyBorder="1" applyAlignment="1">
      <alignment horizontal="center" vertical="center"/>
    </xf>
    <xf numFmtId="43" fontId="5" fillId="46" borderId="244" xfId="0" applyNumberFormat="1" applyFont="1" applyFill="1" applyBorder="1" applyAlignment="1">
      <alignment horizontal="center" vertical="center"/>
    </xf>
    <xf numFmtId="43" fontId="5" fillId="46" borderId="246" xfId="0" applyNumberFormat="1" applyFont="1" applyFill="1" applyBorder="1" applyAlignment="1">
      <alignment horizontal="center" vertical="center"/>
    </xf>
    <xf numFmtId="43" fontId="5" fillId="46" borderId="247" xfId="0" applyNumberFormat="1" applyFont="1" applyFill="1" applyBorder="1" applyAlignment="1">
      <alignment horizontal="right" vertical="center"/>
    </xf>
    <xf numFmtId="0" fontId="7" fillId="47" borderId="248" xfId="0" applyFont="1" applyFill="1" applyBorder="1" applyAlignment="1">
      <alignment horizontal="center"/>
    </xf>
    <xf numFmtId="188" fontId="62" fillId="47" borderId="251" xfId="1" applyNumberFormat="1" applyFont="1" applyFill="1" applyBorder="1"/>
    <xf numFmtId="188" fontId="5" fillId="47" borderId="253" xfId="1" applyNumberFormat="1" applyFont="1" applyFill="1" applyBorder="1"/>
    <xf numFmtId="43" fontId="5" fillId="47" borderId="252" xfId="0" applyNumberFormat="1" applyFont="1" applyFill="1" applyBorder="1"/>
    <xf numFmtId="43" fontId="5" fillId="47" borderId="251" xfId="0" applyNumberFormat="1" applyFont="1" applyFill="1" applyBorder="1"/>
    <xf numFmtId="43" fontId="5" fillId="47" borderId="251" xfId="0" applyNumberFormat="1" applyFont="1" applyFill="1" applyBorder="1" applyAlignment="1">
      <alignment horizontal="left"/>
    </xf>
    <xf numFmtId="43" fontId="5" fillId="47" borderId="252" xfId="1" applyFont="1" applyFill="1" applyBorder="1" applyAlignment="1">
      <alignment horizontal="center"/>
    </xf>
    <xf numFmtId="43" fontId="5" fillId="47" borderId="250" xfId="1" applyFont="1" applyFill="1" applyBorder="1"/>
    <xf numFmtId="43" fontId="5" fillId="0" borderId="2" xfId="1" applyFont="1" applyBorder="1" applyAlignment="1">
      <alignment horizontal="center" vertical="center"/>
    </xf>
    <xf numFmtId="43" fontId="6" fillId="0" borderId="4" xfId="1" applyFont="1" applyBorder="1" applyAlignment="1">
      <alignment horizontal="right"/>
    </xf>
    <xf numFmtId="43" fontId="8" fillId="0" borderId="4" xfId="0" applyNumberFormat="1" applyFont="1" applyBorder="1" applyAlignment="1">
      <alignment horizontal="center" vertical="center"/>
    </xf>
    <xf numFmtId="43" fontId="5" fillId="0" borderId="4" xfId="0" applyNumberFormat="1" applyFont="1" applyBorder="1" applyAlignment="1">
      <alignment horizontal="center" vertical="center"/>
    </xf>
    <xf numFmtId="0" fontId="7" fillId="48" borderId="149" xfId="0" applyFont="1" applyFill="1" applyBorder="1" applyAlignment="1">
      <alignment vertical="center"/>
    </xf>
    <xf numFmtId="188" fontId="3" fillId="48" borderId="4" xfId="1" applyNumberFormat="1" applyFont="1" applyFill="1" applyBorder="1"/>
    <xf numFmtId="188" fontId="3" fillId="48" borderId="11" xfId="1" applyNumberFormat="1" applyFont="1" applyFill="1" applyBorder="1"/>
    <xf numFmtId="43" fontId="3" fillId="48" borderId="4" xfId="1" applyFont="1" applyFill="1" applyBorder="1"/>
    <xf numFmtId="188" fontId="3" fillId="48" borderId="21" xfId="1" applyNumberFormat="1" applyFont="1" applyFill="1" applyBorder="1"/>
    <xf numFmtId="0" fontId="8" fillId="0" borderId="149" xfId="0" applyFont="1" applyBorder="1" applyAlignment="1">
      <alignment horizontal="center" vertical="center" wrapText="1"/>
    </xf>
    <xf numFmtId="0" fontId="7" fillId="46" borderId="149" xfId="0" applyFont="1" applyFill="1" applyBorder="1" applyAlignment="1">
      <alignment vertical="center"/>
    </xf>
    <xf numFmtId="188" fontId="3" fillId="46" borderId="4" xfId="1" applyNumberFormat="1" applyFont="1" applyFill="1" applyBorder="1"/>
    <xf numFmtId="188" fontId="3" fillId="46" borderId="9" xfId="1" applyNumberFormat="1" applyFont="1" applyFill="1" applyBorder="1"/>
    <xf numFmtId="188" fontId="3" fillId="46" borderId="91" xfId="1" applyNumberFormat="1" applyFont="1" applyFill="1" applyBorder="1"/>
    <xf numFmtId="188" fontId="3" fillId="46" borderId="11" xfId="1" applyNumberFormat="1" applyFont="1" applyFill="1" applyBorder="1"/>
    <xf numFmtId="43" fontId="3" fillId="46" borderId="4" xfId="1" applyFont="1" applyFill="1" applyBorder="1"/>
    <xf numFmtId="188" fontId="3" fillId="46" borderId="5" xfId="1" applyNumberFormat="1" applyFont="1" applyFill="1" applyBorder="1"/>
    <xf numFmtId="0" fontId="5" fillId="5" borderId="149" xfId="0" applyFont="1" applyFill="1" applyBorder="1"/>
    <xf numFmtId="188" fontId="3" fillId="46" borderId="21" xfId="1" applyNumberFormat="1" applyFont="1" applyFill="1" applyBorder="1"/>
    <xf numFmtId="43" fontId="3" fillId="46" borderId="9" xfId="1" applyFont="1" applyFill="1" applyBorder="1"/>
    <xf numFmtId="0" fontId="6" fillId="0" borderId="149" xfId="0" applyFont="1" applyBorder="1" applyAlignment="1">
      <alignment vertical="center"/>
    </xf>
    <xf numFmtId="0" fontId="8" fillId="0" borderId="149" xfId="0" applyFont="1" applyBorder="1" applyAlignment="1">
      <alignment vertical="center"/>
    </xf>
    <xf numFmtId="0" fontId="14" fillId="0" borderId="149" xfId="0" applyFont="1" applyBorder="1" applyAlignment="1">
      <alignment vertical="center"/>
    </xf>
    <xf numFmtId="188" fontId="3" fillId="49" borderId="10" xfId="1" applyNumberFormat="1" applyFont="1" applyFill="1" applyBorder="1"/>
    <xf numFmtId="188" fontId="3" fillId="49" borderId="99" xfId="0" applyNumberFormat="1" applyFont="1" applyFill="1" applyBorder="1"/>
    <xf numFmtId="188" fontId="3" fillId="49" borderId="254" xfId="1" applyNumberFormat="1" applyFont="1" applyFill="1" applyBorder="1"/>
    <xf numFmtId="43" fontId="3" fillId="49" borderId="10" xfId="1" applyFont="1" applyFill="1" applyBorder="1"/>
    <xf numFmtId="188" fontId="3" fillId="45" borderId="4" xfId="1" applyNumberFormat="1" applyFont="1" applyFill="1" applyBorder="1"/>
    <xf numFmtId="188" fontId="3" fillId="45" borderId="5" xfId="0" applyNumberFormat="1" applyFont="1" applyFill="1" applyBorder="1"/>
    <xf numFmtId="188" fontId="3" fillId="45" borderId="0" xfId="1" applyNumberFormat="1" applyFont="1" applyFill="1" applyBorder="1"/>
    <xf numFmtId="43" fontId="3" fillId="45" borderId="4" xfId="1" applyFont="1" applyFill="1" applyBorder="1"/>
    <xf numFmtId="43" fontId="3" fillId="45" borderId="9" xfId="1" applyFont="1" applyFill="1" applyBorder="1"/>
    <xf numFmtId="188" fontId="3" fillId="45" borderId="5" xfId="1" applyNumberFormat="1" applyFont="1" applyFill="1" applyBorder="1"/>
    <xf numFmtId="188" fontId="4" fillId="0" borderId="60" xfId="1" applyNumberFormat="1" applyFont="1" applyFill="1" applyBorder="1"/>
    <xf numFmtId="188" fontId="4" fillId="0" borderId="91" xfId="1" applyNumberFormat="1" applyFont="1" applyFill="1" applyBorder="1" applyAlignment="1">
      <alignment vertical="center"/>
    </xf>
    <xf numFmtId="188" fontId="3" fillId="0" borderId="9" xfId="1" applyNumberFormat="1" applyFont="1" applyBorder="1" applyAlignment="1">
      <alignment vertical="center"/>
    </xf>
    <xf numFmtId="188" fontId="4" fillId="0" borderId="5" xfId="0" applyNumberFormat="1" applyFont="1" applyBorder="1" applyAlignment="1">
      <alignment vertical="center"/>
    </xf>
    <xf numFmtId="0" fontId="8" fillId="0" borderId="149" xfId="0" applyFont="1" applyBorder="1" applyAlignment="1">
      <alignment horizontal="left" vertical="center" wrapText="1"/>
    </xf>
    <xf numFmtId="188" fontId="3" fillId="49" borderId="18" xfId="1" applyNumberFormat="1" applyFont="1" applyFill="1" applyBorder="1" applyAlignment="1">
      <alignment horizontal="center"/>
    </xf>
    <xf numFmtId="188" fontId="3" fillId="49" borderId="10" xfId="1" applyNumberFormat="1" applyFont="1" applyFill="1" applyBorder="1" applyAlignment="1">
      <alignment horizontal="center"/>
    </xf>
    <xf numFmtId="188" fontId="4" fillId="49" borderId="10" xfId="1" applyNumberFormat="1" applyFont="1" applyFill="1" applyBorder="1" applyAlignment="1"/>
    <xf numFmtId="43" fontId="4" fillId="49" borderId="10" xfId="1" applyFont="1" applyFill="1" applyBorder="1"/>
    <xf numFmtId="188" fontId="7" fillId="45" borderId="149" xfId="1" applyNumberFormat="1" applyFont="1" applyFill="1" applyBorder="1"/>
    <xf numFmtId="188" fontId="3" fillId="45" borderId="244" xfId="1" applyNumberFormat="1" applyFont="1" applyFill="1" applyBorder="1"/>
    <xf numFmtId="188" fontId="4" fillId="45" borderId="9" xfId="1" applyNumberFormat="1" applyFont="1" applyFill="1" applyBorder="1"/>
    <xf numFmtId="188" fontId="4" fillId="45" borderId="241" xfId="1" applyNumberFormat="1" applyFont="1" applyFill="1" applyBorder="1" applyAlignment="1">
      <alignment horizontal="center"/>
    </xf>
    <xf numFmtId="188" fontId="4" fillId="45" borderId="11" xfId="1" applyNumberFormat="1" applyFont="1" applyFill="1" applyBorder="1" applyAlignment="1">
      <alignment horizontal="center"/>
    </xf>
    <xf numFmtId="188" fontId="4" fillId="45" borderId="4" xfId="1" applyNumberFormat="1" applyFont="1" applyFill="1" applyBorder="1" applyAlignment="1"/>
    <xf numFmtId="188" fontId="3" fillId="8" borderId="200" xfId="0" applyNumberFormat="1" applyFont="1" applyFill="1" applyBorder="1" applyAlignment="1">
      <alignment vertical="center"/>
    </xf>
    <xf numFmtId="43" fontId="7" fillId="0" borderId="7" xfId="1" applyFont="1" applyFill="1" applyBorder="1"/>
    <xf numFmtId="43" fontId="5" fillId="47" borderId="251" xfId="1" applyFont="1" applyFill="1" applyBorder="1"/>
    <xf numFmtId="188" fontId="4" fillId="0" borderId="9" xfId="0" applyNumberFormat="1" applyFont="1" applyBorder="1" applyAlignment="1">
      <alignment vertical="center"/>
    </xf>
    <xf numFmtId="43" fontId="3" fillId="8" borderId="207" xfId="0" applyNumberFormat="1" applyFont="1" applyFill="1" applyBorder="1" applyAlignment="1">
      <alignment vertical="center"/>
    </xf>
    <xf numFmtId="188" fontId="3" fillId="8" borderId="255" xfId="0" applyNumberFormat="1" applyFont="1" applyFill="1" applyBorder="1" applyAlignment="1">
      <alignment vertical="center"/>
    </xf>
    <xf numFmtId="43" fontId="3" fillId="47" borderId="197" xfId="1" applyFont="1" applyFill="1" applyBorder="1"/>
    <xf numFmtId="188" fontId="4" fillId="0" borderId="93" xfId="1" applyNumberFormat="1" applyFont="1" applyFill="1" applyBorder="1"/>
    <xf numFmtId="188" fontId="50" fillId="8" borderId="1" xfId="1" applyNumberFormat="1" applyFont="1" applyFill="1" applyBorder="1"/>
    <xf numFmtId="43" fontId="7" fillId="0" borderId="83" xfId="1" applyFont="1" applyBorder="1" applyAlignment="1">
      <alignment horizontal="center"/>
    </xf>
    <xf numFmtId="43" fontId="7" fillId="0" borderId="65" xfId="1" applyFont="1" applyBorder="1"/>
    <xf numFmtId="43" fontId="89" fillId="0" borderId="86" xfId="1" applyFont="1" applyBorder="1"/>
    <xf numFmtId="43" fontId="7" fillId="0" borderId="21" xfId="1" applyFont="1" applyFill="1" applyBorder="1"/>
    <xf numFmtId="43" fontId="6" fillId="0" borderId="24" xfId="1" applyFont="1" applyFill="1" applyBorder="1"/>
    <xf numFmtId="43" fontId="6" fillId="46" borderId="21" xfId="1" applyFont="1" applyFill="1" applyBorder="1"/>
    <xf numFmtId="43" fontId="6" fillId="0" borderId="11" xfId="1" applyFont="1" applyFill="1" applyBorder="1"/>
    <xf numFmtId="43" fontId="6" fillId="0" borderId="76" xfId="1" applyFont="1" applyBorder="1"/>
    <xf numFmtId="43" fontId="7" fillId="0" borderId="77" xfId="1" applyFont="1" applyBorder="1" applyAlignment="1">
      <alignment vertical="center"/>
    </xf>
    <xf numFmtId="43" fontId="7" fillId="6" borderId="0" xfId="1" applyFont="1" applyFill="1" applyBorder="1" applyAlignment="1">
      <alignment vertical="center"/>
    </xf>
    <xf numFmtId="43" fontId="7" fillId="44" borderId="0" xfId="1" applyFont="1" applyFill="1" applyBorder="1" applyAlignment="1">
      <alignment vertical="center"/>
    </xf>
    <xf numFmtId="43" fontId="61" fillId="0" borderId="0" xfId="1" applyFont="1" applyFill="1" applyAlignment="1">
      <alignment horizontal="left"/>
    </xf>
    <xf numFmtId="43" fontId="54" fillId="0" borderId="0" xfId="1" applyFont="1" applyFill="1" applyBorder="1"/>
    <xf numFmtId="0" fontId="7" fillId="6" borderId="0" xfId="0" applyFont="1" applyFill="1"/>
    <xf numFmtId="43" fontId="7" fillId="6" borderId="0" xfId="1" applyFont="1" applyFill="1"/>
    <xf numFmtId="43" fontId="61" fillId="0" borderId="0" xfId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3" fontId="7" fillId="50" borderId="0" xfId="1" applyFont="1" applyFill="1" applyBorder="1" applyAlignment="1">
      <alignment vertical="center"/>
    </xf>
    <xf numFmtId="43" fontId="54" fillId="6" borderId="24" xfId="1" applyFont="1" applyFill="1" applyBorder="1"/>
    <xf numFmtId="0" fontId="7" fillId="46" borderId="149" xfId="0" applyFont="1" applyFill="1" applyBorder="1" applyAlignment="1">
      <alignment horizontal="center"/>
    </xf>
    <xf numFmtId="188" fontId="3" fillId="46" borderId="5" xfId="0" applyNumberFormat="1" applyFont="1" applyFill="1" applyBorder="1"/>
    <xf numFmtId="188" fontId="3" fillId="46" borderId="21" xfId="1" applyNumberFormat="1" applyFont="1" applyFill="1" applyBorder="1" applyAlignment="1">
      <alignment horizontal="center"/>
    </xf>
    <xf numFmtId="188" fontId="3" fillId="46" borderId="11" xfId="1" applyNumberFormat="1" applyFont="1" applyFill="1" applyBorder="1" applyAlignment="1">
      <alignment horizontal="center"/>
    </xf>
    <xf numFmtId="188" fontId="3" fillId="46" borderId="4" xfId="1" applyNumberFormat="1" applyFont="1" applyFill="1" applyBorder="1" applyAlignment="1"/>
    <xf numFmtId="0" fontId="7" fillId="46" borderId="149" xfId="0" applyFont="1" applyFill="1" applyBorder="1" applyAlignment="1">
      <alignment horizontal="center" vertical="center" wrapText="1"/>
    </xf>
    <xf numFmtId="188" fontId="3" fillId="46" borderId="4" xfId="1" applyNumberFormat="1" applyFont="1" applyFill="1" applyBorder="1" applyAlignment="1">
      <alignment vertical="center"/>
    </xf>
    <xf numFmtId="188" fontId="3" fillId="46" borderId="9" xfId="1" applyNumberFormat="1" applyFont="1" applyFill="1" applyBorder="1" applyAlignment="1">
      <alignment vertical="center"/>
    </xf>
    <xf numFmtId="188" fontId="3" fillId="46" borderId="5" xfId="0" applyNumberFormat="1" applyFont="1" applyFill="1" applyBorder="1" applyAlignment="1">
      <alignment vertical="center"/>
    </xf>
    <xf numFmtId="188" fontId="3" fillId="46" borderId="91" xfId="1" applyNumberFormat="1" applyFont="1" applyFill="1" applyBorder="1" applyAlignment="1">
      <alignment vertical="center"/>
    </xf>
    <xf numFmtId="188" fontId="3" fillId="46" borderId="21" xfId="1" applyNumberFormat="1" applyFont="1" applyFill="1" applyBorder="1" applyAlignment="1">
      <alignment horizontal="center" vertical="center"/>
    </xf>
    <xf numFmtId="188" fontId="3" fillId="46" borderId="11" xfId="1" applyNumberFormat="1" applyFont="1" applyFill="1" applyBorder="1" applyAlignment="1">
      <alignment horizontal="center" vertical="center"/>
    </xf>
    <xf numFmtId="43" fontId="3" fillId="46" borderId="4" xfId="1" applyFont="1" applyFill="1" applyBorder="1" applyAlignment="1">
      <alignment vertical="center"/>
    </xf>
    <xf numFmtId="43" fontId="3" fillId="46" borderId="9" xfId="1" applyFont="1" applyFill="1" applyBorder="1" applyAlignment="1">
      <alignment vertical="center"/>
    </xf>
    <xf numFmtId="188" fontId="3" fillId="46" borderId="5" xfId="1" applyNumberFormat="1" applyFont="1" applyFill="1" applyBorder="1" applyAlignment="1">
      <alignment vertical="center"/>
    </xf>
    <xf numFmtId="188" fontId="3" fillId="49" borderId="12" xfId="1" applyNumberFormat="1" applyFont="1" applyFill="1" applyBorder="1"/>
    <xf numFmtId="0" fontId="5" fillId="49" borderId="256" xfId="0" applyFont="1" applyFill="1" applyBorder="1" applyAlignment="1">
      <alignment horizontal="center"/>
    </xf>
    <xf numFmtId="188" fontId="6" fillId="0" borderId="0" xfId="1" applyNumberFormat="1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48" borderId="245" xfId="1" applyNumberFormat="1" applyFont="1" applyFill="1" applyBorder="1" applyAlignment="1">
      <alignment vertical="center" wrapText="1"/>
    </xf>
    <xf numFmtId="198" fontId="3" fillId="48" borderId="244" xfId="1" applyNumberFormat="1" applyFont="1" applyFill="1" applyBorder="1" applyAlignment="1">
      <alignment vertical="center"/>
    </xf>
    <xf numFmtId="188" fontId="3" fillId="5" borderId="244" xfId="1" applyNumberFormat="1" applyFont="1" applyFill="1" applyBorder="1" applyAlignment="1">
      <alignment vertical="center"/>
    </xf>
    <xf numFmtId="188" fontId="3" fillId="5" borderId="246" xfId="1" applyNumberFormat="1" applyFont="1" applyFill="1" applyBorder="1" applyAlignment="1">
      <alignment vertical="center"/>
    </xf>
    <xf numFmtId="188" fontId="3" fillId="5" borderId="257" xfId="1" applyNumberFormat="1" applyFont="1" applyFill="1" applyBorder="1" applyAlignment="1">
      <alignment vertical="center"/>
    </xf>
    <xf numFmtId="188" fontId="3" fillId="5" borderId="241" xfId="1" applyNumberFormat="1" applyFont="1" applyFill="1" applyBorder="1" applyAlignment="1">
      <alignment vertical="center"/>
    </xf>
    <xf numFmtId="188" fontId="3" fillId="5" borderId="258" xfId="1" applyNumberFormat="1" applyFont="1" applyFill="1" applyBorder="1" applyAlignment="1">
      <alignment vertical="center"/>
    </xf>
    <xf numFmtId="43" fontId="3" fillId="5" borderId="244" xfId="1" applyFont="1" applyFill="1" applyBorder="1" applyAlignment="1">
      <alignment vertical="center"/>
    </xf>
    <xf numFmtId="43" fontId="3" fillId="5" borderId="246" xfId="1" applyFont="1" applyFill="1" applyBorder="1" applyAlignment="1">
      <alignment vertical="center"/>
    </xf>
    <xf numFmtId="188" fontId="3" fillId="5" borderId="247" xfId="1" applyNumberFormat="1" applyFont="1" applyFill="1" applyBorder="1" applyAlignment="1">
      <alignment vertical="center"/>
    </xf>
    <xf numFmtId="188" fontId="3" fillId="0" borderId="4" xfId="1" applyNumberFormat="1" applyFont="1" applyFill="1" applyBorder="1" applyAlignment="1">
      <alignment horizontal="center"/>
    </xf>
    <xf numFmtId="188" fontId="4" fillId="0" borderId="11" xfId="1" applyNumberFormat="1" applyFont="1" applyBorder="1" applyAlignment="1">
      <alignment horizontal="center" vertical="center"/>
    </xf>
    <xf numFmtId="188" fontId="4" fillId="0" borderId="11" xfId="1" applyNumberFormat="1" applyFont="1" applyBorder="1" applyAlignment="1">
      <alignment vertical="center"/>
    </xf>
    <xf numFmtId="43" fontId="4" fillId="0" borderId="4" xfId="1" applyFont="1" applyBorder="1" applyAlignment="1">
      <alignment vertical="center"/>
    </xf>
    <xf numFmtId="188" fontId="4" fillId="0" borderId="4" xfId="1" applyNumberFormat="1" applyFont="1" applyBorder="1" applyAlignment="1">
      <alignment vertical="center"/>
    </xf>
    <xf numFmtId="43" fontId="4" fillId="0" borderId="4" xfId="1" applyFont="1" applyBorder="1"/>
    <xf numFmtId="43" fontId="4" fillId="0" borderId="9" xfId="1" applyFont="1" applyBorder="1"/>
    <xf numFmtId="2" fontId="4" fillId="0" borderId="9" xfId="1" applyNumberFormat="1" applyFont="1" applyBorder="1"/>
    <xf numFmtId="43" fontId="4" fillId="0" borderId="9" xfId="1" applyFont="1" applyBorder="1" applyAlignment="1">
      <alignment vertical="center"/>
    </xf>
    <xf numFmtId="188" fontId="4" fillId="0" borderId="11" xfId="1" applyNumberFormat="1" applyFont="1" applyFill="1" applyBorder="1" applyAlignment="1">
      <alignment vertical="center"/>
    </xf>
    <xf numFmtId="43" fontId="4" fillId="0" borderId="4" xfId="1" applyFont="1" applyFill="1" applyBorder="1" applyAlignment="1">
      <alignment vertical="center"/>
    </xf>
    <xf numFmtId="0" fontId="90" fillId="0" borderId="149" xfId="0" applyFont="1" applyBorder="1" applyAlignment="1">
      <alignment vertical="center"/>
    </xf>
    <xf numFmtId="43" fontId="3" fillId="0" borderId="151" xfId="1" applyFont="1" applyBorder="1" applyAlignment="1">
      <alignment vertical="center"/>
    </xf>
    <xf numFmtId="188" fontId="7" fillId="49" borderId="259" xfId="1" applyNumberFormat="1" applyFont="1" applyFill="1" applyBorder="1" applyAlignment="1">
      <alignment horizontal="center" vertical="center"/>
    </xf>
    <xf numFmtId="188" fontId="3" fillId="49" borderId="188" xfId="1" applyNumberFormat="1" applyFont="1" applyFill="1" applyBorder="1" applyAlignment="1">
      <alignment vertical="center"/>
    </xf>
    <xf numFmtId="188" fontId="3" fillId="49" borderId="180" xfId="0" applyNumberFormat="1" applyFont="1" applyFill="1" applyBorder="1" applyAlignment="1">
      <alignment vertical="center"/>
    </xf>
    <xf numFmtId="188" fontId="3" fillId="49" borderId="260" xfId="1" applyNumberFormat="1" applyFont="1" applyFill="1" applyBorder="1" applyAlignment="1">
      <alignment vertical="center"/>
    </xf>
    <xf numFmtId="188" fontId="3" fillId="49" borderId="181" xfId="1" applyNumberFormat="1" applyFont="1" applyFill="1" applyBorder="1" applyAlignment="1">
      <alignment vertical="center"/>
    </xf>
    <xf numFmtId="43" fontId="3" fillId="49" borderId="188" xfId="1" applyFont="1" applyFill="1" applyBorder="1" applyAlignment="1">
      <alignment vertical="center"/>
    </xf>
    <xf numFmtId="188" fontId="3" fillId="49" borderId="189" xfId="1" applyNumberFormat="1" applyFont="1" applyFill="1" applyBorder="1" applyAlignment="1">
      <alignment vertical="center"/>
    </xf>
    <xf numFmtId="188" fontId="7" fillId="49" borderId="256" xfId="1" applyNumberFormat="1" applyFont="1" applyFill="1" applyBorder="1" applyAlignment="1">
      <alignment horizontal="center" vertical="center"/>
    </xf>
    <xf numFmtId="188" fontId="3" fillId="49" borderId="10" xfId="0" applyNumberFormat="1" applyFont="1" applyFill="1" applyBorder="1" applyAlignment="1">
      <alignment horizontal="center" vertical="center"/>
    </xf>
    <xf numFmtId="188" fontId="3" fillId="49" borderId="12" xfId="0" applyNumberFormat="1" applyFont="1" applyFill="1" applyBorder="1" applyAlignment="1">
      <alignment horizontal="center" vertical="center"/>
    </xf>
    <xf numFmtId="188" fontId="3" fillId="49" borderId="254" xfId="0" applyNumberFormat="1" applyFont="1" applyFill="1" applyBorder="1" applyAlignment="1">
      <alignment horizontal="center" vertical="center"/>
    </xf>
    <xf numFmtId="188" fontId="3" fillId="49" borderId="18" xfId="0" applyNumberFormat="1" applyFont="1" applyFill="1" applyBorder="1" applyAlignment="1">
      <alignment horizontal="center" vertical="center"/>
    </xf>
    <xf numFmtId="43" fontId="3" fillId="49" borderId="10" xfId="0" applyNumberFormat="1" applyFont="1" applyFill="1" applyBorder="1" applyAlignment="1">
      <alignment horizontal="center" vertical="center"/>
    </xf>
    <xf numFmtId="0" fontId="61" fillId="45" borderId="149" xfId="0" applyFont="1" applyFill="1" applyBorder="1"/>
    <xf numFmtId="188" fontId="56" fillId="45" borderId="4" xfId="1" applyNumberFormat="1" applyFont="1" applyFill="1" applyBorder="1"/>
    <xf numFmtId="188" fontId="56" fillId="45" borderId="5" xfId="0" applyNumberFormat="1" applyFont="1" applyFill="1" applyBorder="1"/>
    <xf numFmtId="188" fontId="56" fillId="45" borderId="0" xfId="1" applyNumberFormat="1" applyFont="1" applyFill="1" applyBorder="1"/>
    <xf numFmtId="188" fontId="56" fillId="45" borderId="21" xfId="1" applyNumberFormat="1" applyFont="1" applyFill="1" applyBorder="1"/>
    <xf numFmtId="188" fontId="56" fillId="45" borderId="11" xfId="1" applyNumberFormat="1" applyFont="1" applyFill="1" applyBorder="1"/>
    <xf numFmtId="43" fontId="56" fillId="45" borderId="4" xfId="1" applyFont="1" applyFill="1" applyBorder="1"/>
    <xf numFmtId="43" fontId="56" fillId="45" borderId="9" xfId="1" applyFont="1" applyFill="1" applyBorder="1"/>
    <xf numFmtId="188" fontId="56" fillId="45" borderId="5" xfId="1" applyNumberFormat="1" applyFont="1" applyFill="1" applyBorder="1"/>
    <xf numFmtId="188" fontId="56" fillId="45" borderId="4" xfId="1" applyNumberFormat="1" applyFont="1" applyFill="1" applyBorder="1" applyAlignment="1">
      <alignment vertical="center"/>
    </xf>
    <xf numFmtId="0" fontId="61" fillId="5" borderId="149" xfId="0" applyFont="1" applyFill="1" applyBorder="1"/>
    <xf numFmtId="188" fontId="56" fillId="5" borderId="9" xfId="1" applyNumberFormat="1" applyFont="1" applyFill="1" applyBorder="1"/>
    <xf numFmtId="188" fontId="56" fillId="5" borderId="5" xfId="0" applyNumberFormat="1" applyFont="1" applyFill="1" applyBorder="1"/>
    <xf numFmtId="188" fontId="56" fillId="5" borderId="0" xfId="1" applyNumberFormat="1" applyFont="1" applyFill="1" applyBorder="1"/>
    <xf numFmtId="188" fontId="56" fillId="5" borderId="21" xfId="1" applyNumberFormat="1" applyFont="1" applyFill="1" applyBorder="1" applyAlignment="1">
      <alignment horizontal="center"/>
    </xf>
    <xf numFmtId="188" fontId="56" fillId="5" borderId="11" xfId="1" applyNumberFormat="1" applyFont="1" applyFill="1" applyBorder="1" applyAlignment="1">
      <alignment horizontal="center"/>
    </xf>
    <xf numFmtId="188" fontId="56" fillId="5" borderId="4" xfId="1" applyNumberFormat="1" applyFont="1" applyFill="1" applyBorder="1" applyAlignment="1"/>
    <xf numFmtId="43" fontId="56" fillId="5" borderId="4" xfId="1" applyFont="1" applyFill="1" applyBorder="1"/>
    <xf numFmtId="43" fontId="56" fillId="5" borderId="9" xfId="1" applyFont="1" applyFill="1" applyBorder="1"/>
    <xf numFmtId="188" fontId="56" fillId="5" borderId="5" xfId="1" applyNumberFormat="1" applyFont="1" applyFill="1" applyBorder="1"/>
    <xf numFmtId="0" fontId="61" fillId="46" borderId="149" xfId="0" applyFont="1" applyFill="1" applyBorder="1" applyAlignment="1">
      <alignment horizontal="center"/>
    </xf>
    <xf numFmtId="188" fontId="56" fillId="46" borderId="4" xfId="1" applyNumberFormat="1" applyFont="1" applyFill="1" applyBorder="1"/>
    <xf numFmtId="188" fontId="56" fillId="46" borderId="5" xfId="0" applyNumberFormat="1" applyFont="1" applyFill="1" applyBorder="1"/>
    <xf numFmtId="188" fontId="56" fillId="46" borderId="0" xfId="1" applyNumberFormat="1" applyFont="1" applyFill="1" applyBorder="1"/>
    <xf numFmtId="188" fontId="56" fillId="46" borderId="21" xfId="1" applyNumberFormat="1" applyFont="1" applyFill="1" applyBorder="1"/>
    <xf numFmtId="188" fontId="56" fillId="46" borderId="11" xfId="1" applyNumberFormat="1" applyFont="1" applyFill="1" applyBorder="1"/>
    <xf numFmtId="43" fontId="56" fillId="46" borderId="4" xfId="1" applyFont="1" applyFill="1" applyBorder="1"/>
    <xf numFmtId="43" fontId="56" fillId="46" borderId="9" xfId="1" applyFont="1" applyFill="1" applyBorder="1"/>
    <xf numFmtId="188" fontId="56" fillId="46" borderId="5" xfId="1" applyNumberFormat="1" applyFont="1" applyFill="1" applyBorder="1"/>
    <xf numFmtId="188" fontId="56" fillId="0" borderId="4" xfId="1" applyNumberFormat="1" applyFont="1" applyFill="1" applyBorder="1"/>
    <xf numFmtId="188" fontId="56" fillId="0" borderId="4" xfId="1" applyNumberFormat="1" applyFont="1" applyFill="1" applyBorder="1" applyAlignment="1">
      <alignment horizontal="center" vertical="center"/>
    </xf>
    <xf numFmtId="188" fontId="66" fillId="45" borderId="149" xfId="1" applyNumberFormat="1" applyFont="1" applyFill="1" applyBorder="1" applyAlignment="1">
      <alignment vertical="center" wrapText="1"/>
    </xf>
    <xf numFmtId="188" fontId="63" fillId="45" borderId="4" xfId="1" applyNumberFormat="1" applyFont="1" applyFill="1" applyBorder="1" applyAlignment="1">
      <alignment vertical="center"/>
    </xf>
    <xf numFmtId="188" fontId="63" fillId="45" borderId="5" xfId="1" applyNumberFormat="1" applyFont="1" applyFill="1" applyBorder="1" applyAlignment="1">
      <alignment vertical="center"/>
    </xf>
    <xf numFmtId="188" fontId="63" fillId="45" borderId="11" xfId="1" applyNumberFormat="1" applyFont="1" applyFill="1" applyBorder="1" applyAlignment="1">
      <alignment vertical="center"/>
    </xf>
    <xf numFmtId="188" fontId="63" fillId="45" borderId="21" xfId="1" applyNumberFormat="1" applyFont="1" applyFill="1" applyBorder="1" applyAlignment="1">
      <alignment vertical="center"/>
    </xf>
    <xf numFmtId="43" fontId="63" fillId="45" borderId="4" xfId="1" applyFont="1" applyFill="1" applyBorder="1" applyAlignment="1">
      <alignment vertical="center"/>
    </xf>
    <xf numFmtId="43" fontId="63" fillId="45" borderId="9" xfId="1" applyFont="1" applyFill="1" applyBorder="1" applyAlignment="1">
      <alignment vertical="center"/>
    </xf>
    <xf numFmtId="198" fontId="56" fillId="0" borderId="4" xfId="1" applyNumberFormat="1" applyFont="1" applyFill="1" applyBorder="1" applyAlignment="1">
      <alignment vertical="center"/>
    </xf>
    <xf numFmtId="188" fontId="56" fillId="0" borderId="4" xfId="1" applyNumberFormat="1" applyFont="1" applyFill="1" applyBorder="1" applyAlignment="1">
      <alignment vertical="center"/>
    </xf>
    <xf numFmtId="188" fontId="56" fillId="0" borderId="4" xfId="1" applyNumberFormat="1" applyFont="1" applyBorder="1" applyAlignment="1">
      <alignment vertical="center"/>
    </xf>
    <xf numFmtId="188" fontId="56" fillId="46" borderId="4" xfId="1" applyNumberFormat="1" applyFont="1" applyFill="1" applyBorder="1" applyAlignment="1">
      <alignment vertical="center"/>
    </xf>
    <xf numFmtId="188" fontId="56" fillId="48" borderId="4" xfId="1" applyNumberFormat="1" applyFont="1" applyFill="1" applyBorder="1" applyAlignment="1">
      <alignment vertical="center"/>
    </xf>
    <xf numFmtId="0" fontId="3" fillId="6" borderId="0" xfId="0" applyFont="1" applyFill="1" applyAlignment="1">
      <alignment horizontal="left" vertical="center"/>
    </xf>
    <xf numFmtId="188" fontId="3" fillId="6" borderId="0" xfId="0" applyNumberFormat="1" applyFont="1" applyFill="1" applyAlignment="1">
      <alignment vertical="center"/>
    </xf>
    <xf numFmtId="0" fontId="7" fillId="52" borderId="0" xfId="0" applyFont="1" applyFill="1" applyAlignment="1">
      <alignment horizontal="center"/>
    </xf>
    <xf numFmtId="43" fontId="61" fillId="52" borderId="0" xfId="1" applyFont="1" applyFill="1" applyAlignment="1">
      <alignment horizontal="center"/>
    </xf>
    <xf numFmtId="0" fontId="74" fillId="0" borderId="0" xfId="0" applyFont="1" applyAlignment="1">
      <alignment horizontal="center"/>
    </xf>
    <xf numFmtId="188" fontId="19" fillId="0" borderId="143" xfId="1" applyNumberFormat="1" applyFont="1" applyBorder="1" applyAlignment="1">
      <alignment horizontal="center"/>
    </xf>
    <xf numFmtId="188" fontId="19" fillId="0" borderId="69" xfId="1" applyNumberFormat="1" applyFont="1" applyBorder="1" applyAlignment="1">
      <alignment horizontal="center" vertical="center"/>
    </xf>
    <xf numFmtId="188" fontId="19" fillId="0" borderId="23" xfId="1" applyNumberFormat="1" applyFont="1" applyBorder="1" applyAlignment="1">
      <alignment horizontal="center" vertical="center"/>
    </xf>
    <xf numFmtId="188" fontId="19" fillId="0" borderId="19" xfId="1" applyNumberFormat="1" applyFont="1" applyBorder="1" applyAlignment="1">
      <alignment horizontal="center" vertical="center"/>
    </xf>
    <xf numFmtId="188" fontId="19" fillId="0" borderId="86" xfId="1" applyNumberFormat="1" applyFont="1" applyBorder="1" applyAlignment="1">
      <alignment horizontal="center" vertical="center"/>
    </xf>
    <xf numFmtId="188" fontId="19" fillId="0" borderId="76" xfId="1" applyNumberFormat="1" applyFont="1" applyBorder="1" applyAlignment="1">
      <alignment horizontal="center" vertical="center"/>
    </xf>
    <xf numFmtId="188" fontId="19" fillId="0" borderId="2" xfId="1" applyNumberFormat="1" applyFont="1" applyBorder="1" applyAlignment="1">
      <alignment horizontal="center" vertical="center"/>
    </xf>
    <xf numFmtId="188" fontId="19" fillId="0" borderId="1" xfId="1" applyNumberFormat="1" applyFont="1" applyBorder="1" applyAlignment="1">
      <alignment horizontal="center" vertical="center"/>
    </xf>
    <xf numFmtId="188" fontId="3" fillId="0" borderId="0" xfId="1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197" fontId="8" fillId="0" borderId="108" xfId="0" applyNumberFormat="1" applyFont="1" applyBorder="1" applyAlignment="1">
      <alignment horizontal="left"/>
    </xf>
    <xf numFmtId="0" fontId="7" fillId="8" borderId="10" xfId="0" applyFont="1" applyFill="1" applyBorder="1" applyAlignment="1">
      <alignment horizontal="center"/>
    </xf>
    <xf numFmtId="0" fontId="7" fillId="8" borderId="99" xfId="0" applyFont="1" applyFill="1" applyBorder="1" applyAlignment="1">
      <alignment horizontal="center"/>
    </xf>
    <xf numFmtId="0" fontId="7" fillId="8" borderId="160" xfId="0" applyFont="1" applyFill="1" applyBorder="1" applyAlignment="1">
      <alignment horizontal="center"/>
    </xf>
    <xf numFmtId="0" fontId="7" fillId="8" borderId="161" xfId="0" applyFont="1" applyFill="1" applyBorder="1" applyAlignment="1">
      <alignment horizontal="center"/>
    </xf>
    <xf numFmtId="0" fontId="7" fillId="8" borderId="162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 vertical="top"/>
    </xf>
    <xf numFmtId="0" fontId="7" fillId="8" borderId="5" xfId="0" applyFont="1" applyFill="1" applyBorder="1" applyAlignment="1">
      <alignment horizontal="center" vertical="top"/>
    </xf>
    <xf numFmtId="0" fontId="7" fillId="8" borderId="8" xfId="0" applyFont="1" applyFill="1" applyBorder="1" applyAlignment="1">
      <alignment horizontal="center" vertical="top"/>
    </xf>
    <xf numFmtId="0" fontId="7" fillId="8" borderId="2" xfId="0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left"/>
    </xf>
    <xf numFmtId="0" fontId="7" fillId="0" borderId="166" xfId="0" applyFont="1" applyBorder="1" applyAlignment="1">
      <alignment horizontal="center" vertical="center" wrapText="1"/>
    </xf>
    <xf numFmtId="0" fontId="7" fillId="0" borderId="109" xfId="0" applyFont="1" applyBorder="1" applyAlignment="1">
      <alignment horizontal="center" vertical="center" wrapText="1"/>
    </xf>
    <xf numFmtId="0" fontId="7" fillId="0" borderId="16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188" fontId="5" fillId="0" borderId="168" xfId="1" applyNumberFormat="1" applyFont="1" applyFill="1" applyBorder="1" applyAlignment="1">
      <alignment horizontal="center" vertical="center"/>
    </xf>
    <xf numFmtId="188" fontId="5" fillId="0" borderId="115" xfId="1" applyNumberFormat="1" applyFont="1" applyFill="1" applyBorder="1" applyAlignment="1">
      <alignment horizontal="center" vertical="center"/>
    </xf>
    <xf numFmtId="188" fontId="5" fillId="0" borderId="125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188" fontId="56" fillId="0" borderId="1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88" fontId="7" fillId="0" borderId="163" xfId="1" applyNumberFormat="1" applyFont="1" applyBorder="1" applyAlignment="1">
      <alignment horizontal="center" vertical="center"/>
    </xf>
    <xf numFmtId="188" fontId="7" fillId="0" borderId="164" xfId="1" applyNumberFormat="1" applyFont="1" applyBorder="1" applyAlignment="1">
      <alignment horizontal="center" vertical="center"/>
    </xf>
    <xf numFmtId="197" fontId="7" fillId="0" borderId="15" xfId="1" applyNumberFormat="1" applyFont="1" applyBorder="1" applyAlignment="1">
      <alignment horizontal="center" vertical="center"/>
    </xf>
    <xf numFmtId="197" fontId="7" fillId="0" borderId="165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24" xfId="0" applyFont="1" applyBorder="1" applyAlignment="1">
      <alignment horizontal="center"/>
    </xf>
    <xf numFmtId="0" fontId="5" fillId="0" borderId="125" xfId="0" applyFont="1" applyBorder="1" applyAlignment="1">
      <alignment horizontal="center"/>
    </xf>
    <xf numFmtId="0" fontId="63" fillId="36" borderId="0" xfId="0" applyFont="1" applyFill="1" applyAlignment="1">
      <alignment horizontal="center" vertical="center"/>
    </xf>
    <xf numFmtId="0" fontId="64" fillId="26" borderId="169" xfId="0" applyFont="1" applyFill="1" applyBorder="1" applyAlignment="1">
      <alignment horizontal="center"/>
    </xf>
    <xf numFmtId="0" fontId="64" fillId="26" borderId="170" xfId="0" applyFont="1" applyFill="1" applyBorder="1" applyAlignment="1">
      <alignment horizontal="center"/>
    </xf>
    <xf numFmtId="0" fontId="64" fillId="26" borderId="146" xfId="0" applyFont="1" applyFill="1" applyBorder="1" applyAlignment="1">
      <alignment horizontal="center"/>
    </xf>
    <xf numFmtId="188" fontId="64" fillId="28" borderId="137" xfId="1" applyNumberFormat="1" applyFont="1" applyFill="1" applyBorder="1" applyAlignment="1">
      <alignment horizontal="center" vertical="center" wrapText="1"/>
    </xf>
    <xf numFmtId="188" fontId="64" fillId="28" borderId="171" xfId="1" applyNumberFormat="1" applyFont="1" applyFill="1" applyBorder="1" applyAlignment="1">
      <alignment horizontal="center" vertical="center" wrapText="1"/>
    </xf>
    <xf numFmtId="0" fontId="3" fillId="37" borderId="124" xfId="0" applyFont="1" applyFill="1" applyBorder="1" applyAlignment="1">
      <alignment horizontal="center" vertical="center"/>
    </xf>
    <xf numFmtId="0" fontId="3" fillId="37" borderId="115" xfId="0" applyFont="1" applyFill="1" applyBorder="1" applyAlignment="1">
      <alignment horizontal="center" vertical="center"/>
    </xf>
    <xf numFmtId="0" fontId="64" fillId="28" borderId="24" xfId="0" applyFont="1" applyFill="1" applyBorder="1" applyAlignment="1">
      <alignment horizontal="center" vertical="center"/>
    </xf>
    <xf numFmtId="0" fontId="64" fillId="28" borderId="0" xfId="0" applyFont="1" applyFill="1" applyAlignment="1">
      <alignment horizontal="center" vertical="center"/>
    </xf>
    <xf numFmtId="0" fontId="64" fillId="28" borderId="11" xfId="0" applyFont="1" applyFill="1" applyBorder="1" applyAlignment="1">
      <alignment horizontal="center" vertical="center"/>
    </xf>
    <xf numFmtId="0" fontId="64" fillId="28" borderId="72" xfId="0" applyFont="1" applyFill="1" applyBorder="1" applyAlignment="1">
      <alignment horizontal="center" vertical="center"/>
    </xf>
    <xf numFmtId="0" fontId="64" fillId="28" borderId="103" xfId="0" applyFont="1" applyFill="1" applyBorder="1" applyAlignment="1">
      <alignment horizontal="center" vertical="center"/>
    </xf>
    <xf numFmtId="0" fontId="64" fillId="28" borderId="116" xfId="0" applyFont="1" applyFill="1" applyBorder="1" applyAlignment="1">
      <alignment horizontal="center" vertical="center"/>
    </xf>
    <xf numFmtId="38" fontId="5" fillId="28" borderId="1" xfId="1" applyNumberFormat="1" applyFont="1" applyFill="1" applyBorder="1" applyAlignment="1">
      <alignment horizontal="center" vertical="center" wrapText="1"/>
    </xf>
    <xf numFmtId="38" fontId="5" fillId="28" borderId="107" xfId="1" applyNumberFormat="1" applyFont="1" applyFill="1" applyBorder="1" applyAlignment="1">
      <alignment horizontal="center" vertical="center" wrapText="1"/>
    </xf>
    <xf numFmtId="188" fontId="63" fillId="0" borderId="0" xfId="1" applyNumberFormat="1" applyFont="1" applyFill="1" applyBorder="1" applyAlignment="1">
      <alignment horizontal="center" vertical="center"/>
    </xf>
    <xf numFmtId="188" fontId="63" fillId="0" borderId="60" xfId="1" applyNumberFormat="1" applyFont="1" applyFill="1" applyBorder="1" applyAlignment="1">
      <alignment horizontal="center" vertical="center"/>
    </xf>
    <xf numFmtId="0" fontId="63" fillId="18" borderId="71" xfId="0" applyFont="1" applyFill="1" applyBorder="1" applyAlignment="1">
      <alignment horizontal="center" vertical="center" wrapText="1"/>
    </xf>
    <xf numFmtId="0" fontId="63" fillId="18" borderId="15" xfId="0" applyFont="1" applyFill="1" applyBorder="1" applyAlignment="1">
      <alignment horizontal="center" vertical="center"/>
    </xf>
    <xf numFmtId="0" fontId="63" fillId="18" borderId="73" xfId="0" applyFont="1" applyFill="1" applyBorder="1" applyAlignment="1">
      <alignment horizontal="center" vertical="center"/>
    </xf>
    <xf numFmtId="0" fontId="63" fillId="18" borderId="71" xfId="0" applyFont="1" applyFill="1" applyBorder="1" applyAlignment="1">
      <alignment horizontal="center" vertical="center"/>
    </xf>
    <xf numFmtId="0" fontId="63" fillId="37" borderId="159" xfId="0" applyFont="1" applyFill="1" applyBorder="1" applyAlignment="1">
      <alignment horizontal="center" vertical="center"/>
    </xf>
    <xf numFmtId="0" fontId="63" fillId="37" borderId="172" xfId="0" applyFont="1" applyFill="1" applyBorder="1" applyAlignment="1">
      <alignment horizontal="center" vertical="center"/>
    </xf>
    <xf numFmtId="0" fontId="63" fillId="37" borderId="173" xfId="0" applyFont="1" applyFill="1" applyBorder="1" applyAlignment="1">
      <alignment horizontal="center" vertical="center"/>
    </xf>
    <xf numFmtId="188" fontId="51" fillId="0" borderId="0" xfId="1" applyNumberFormat="1" applyFont="1" applyBorder="1" applyAlignment="1">
      <alignment horizontal="center" vertical="center"/>
    </xf>
    <xf numFmtId="188" fontId="51" fillId="0" borderId="60" xfId="1" applyNumberFormat="1" applyFont="1" applyBorder="1" applyAlignment="1">
      <alignment horizontal="center" vertical="center"/>
    </xf>
    <xf numFmtId="188" fontId="63" fillId="0" borderId="0" xfId="1" applyNumberFormat="1" applyFont="1" applyBorder="1" applyAlignment="1">
      <alignment horizontal="center"/>
    </xf>
    <xf numFmtId="188" fontId="63" fillId="0" borderId="60" xfId="1" applyNumberFormat="1" applyFont="1" applyBorder="1" applyAlignment="1">
      <alignment horizontal="center"/>
    </xf>
    <xf numFmtId="188" fontId="50" fillId="0" borderId="0" xfId="1" applyNumberFormat="1" applyFont="1" applyBorder="1" applyAlignment="1">
      <alignment horizontal="center"/>
    </xf>
    <xf numFmtId="188" fontId="50" fillId="0" borderId="60" xfId="1" applyNumberFormat="1" applyFont="1" applyBorder="1" applyAlignment="1">
      <alignment horizontal="center"/>
    </xf>
    <xf numFmtId="188" fontId="51" fillId="0" borderId="0" xfId="1" applyNumberFormat="1" applyFont="1" applyFill="1" applyBorder="1" applyAlignment="1">
      <alignment horizontal="center" vertical="center"/>
    </xf>
    <xf numFmtId="188" fontId="51" fillId="0" borderId="60" xfId="1" applyNumberFormat="1" applyFont="1" applyFill="1" applyBorder="1" applyAlignment="1">
      <alignment horizontal="center" vertical="center"/>
    </xf>
    <xf numFmtId="188" fontId="56" fillId="0" borderId="0" xfId="0" applyNumberFormat="1" applyFont="1" applyAlignment="1">
      <alignment horizontal="center" vertical="center"/>
    </xf>
    <xf numFmtId="188" fontId="56" fillId="0" borderId="60" xfId="0" applyNumberFormat="1" applyFont="1" applyBorder="1" applyAlignment="1">
      <alignment horizontal="center" vertical="center"/>
    </xf>
    <xf numFmtId="188" fontId="3" fillId="0" borderId="0" xfId="0" applyNumberFormat="1" applyFont="1" applyAlignment="1">
      <alignment horizontal="center" vertical="center"/>
    </xf>
    <xf numFmtId="188" fontId="3" fillId="0" borderId="60" xfId="0" applyNumberFormat="1" applyFont="1" applyBorder="1" applyAlignment="1">
      <alignment horizontal="center" vertical="center"/>
    </xf>
    <xf numFmtId="188" fontId="50" fillId="0" borderId="0" xfId="1" applyNumberFormat="1" applyFont="1" applyBorder="1" applyAlignment="1">
      <alignment horizontal="center" vertical="center"/>
    </xf>
    <xf numFmtId="188" fontId="50" fillId="0" borderId="60" xfId="1" applyNumberFormat="1" applyFont="1" applyBorder="1" applyAlignment="1">
      <alignment horizontal="center" vertical="center"/>
    </xf>
    <xf numFmtId="188" fontId="56" fillId="0" borderId="0" xfId="0" applyNumberFormat="1" applyFont="1" applyAlignment="1">
      <alignment horizontal="center"/>
    </xf>
    <xf numFmtId="188" fontId="56" fillId="0" borderId="60" xfId="0" applyNumberFormat="1" applyFont="1" applyBorder="1" applyAlignment="1">
      <alignment horizontal="center"/>
    </xf>
    <xf numFmtId="188" fontId="50" fillId="0" borderId="0" xfId="0" applyNumberFormat="1" applyFont="1" applyAlignment="1">
      <alignment horizontal="center" vertical="center"/>
    </xf>
    <xf numFmtId="188" fontId="50" fillId="0" borderId="60" xfId="0" applyNumberFormat="1" applyFont="1" applyBorder="1" applyAlignment="1">
      <alignment horizontal="center" vertical="center"/>
    </xf>
    <xf numFmtId="188" fontId="50" fillId="0" borderId="0" xfId="0" applyNumberFormat="1" applyFont="1" applyAlignment="1">
      <alignment horizontal="center"/>
    </xf>
    <xf numFmtId="188" fontId="4" fillId="0" borderId="0" xfId="10" applyNumberFormat="1" applyFont="1" applyAlignment="1">
      <alignment horizontal="center"/>
    </xf>
    <xf numFmtId="0" fontId="56" fillId="0" borderId="74" xfId="11" applyFont="1" applyBorder="1" applyAlignment="1">
      <alignment horizontal="center" vertical="center"/>
    </xf>
    <xf numFmtId="0" fontId="56" fillId="0" borderId="70" xfId="11" applyFont="1" applyBorder="1" applyAlignment="1">
      <alignment horizontal="center" vertical="center"/>
    </xf>
    <xf numFmtId="0" fontId="56" fillId="0" borderId="72" xfId="11" applyFont="1" applyBorder="1" applyAlignment="1">
      <alignment horizontal="center" vertical="center"/>
    </xf>
    <xf numFmtId="188" fontId="14" fillId="0" borderId="0" xfId="10" applyNumberFormat="1" applyFont="1" applyAlignment="1">
      <alignment horizontal="center"/>
    </xf>
    <xf numFmtId="0" fontId="3" fillId="18" borderId="124" xfId="11" applyFont="1" applyFill="1" applyBorder="1" applyAlignment="1">
      <alignment horizontal="center"/>
    </xf>
    <xf numFmtId="0" fontId="3" fillId="18" borderId="115" xfId="11" applyFont="1" applyFill="1" applyBorder="1" applyAlignment="1">
      <alignment horizontal="center"/>
    </xf>
    <xf numFmtId="0" fontId="3" fillId="18" borderId="125" xfId="11" applyFont="1" applyFill="1" applyBorder="1" applyAlignment="1">
      <alignment horizontal="center"/>
    </xf>
    <xf numFmtId="0" fontId="3" fillId="6" borderId="23" xfId="10" applyFont="1" applyFill="1" applyBorder="1" applyAlignment="1">
      <alignment horizontal="center" vertical="center"/>
    </xf>
    <xf numFmtId="0" fontId="3" fillId="6" borderId="19" xfId="10" applyFont="1" applyFill="1" applyBorder="1" applyAlignment="1">
      <alignment horizontal="center" vertical="center"/>
    </xf>
    <xf numFmtId="188" fontId="51" fillId="0" borderId="0" xfId="1" applyNumberFormat="1" applyFont="1" applyAlignment="1">
      <alignment horizontal="center" vertical="center"/>
    </xf>
    <xf numFmtId="188" fontId="51" fillId="0" borderId="0" xfId="1" applyNumberFormat="1" applyFont="1" applyBorder="1" applyAlignment="1">
      <alignment horizontal="center"/>
    </xf>
    <xf numFmtId="188" fontId="51" fillId="0" borderId="0" xfId="1" applyNumberFormat="1" applyFont="1" applyFill="1" applyAlignment="1">
      <alignment horizontal="center" vertical="center"/>
    </xf>
    <xf numFmtId="0" fontId="3" fillId="37" borderId="125" xfId="0" applyFont="1" applyFill="1" applyBorder="1" applyAlignment="1">
      <alignment horizontal="center" vertical="center"/>
    </xf>
    <xf numFmtId="0" fontId="5" fillId="30" borderId="174" xfId="0" applyFont="1" applyFill="1" applyBorder="1" applyAlignment="1">
      <alignment horizontal="center" vertical="center" wrapText="1"/>
    </xf>
    <xf numFmtId="0" fontId="5" fillId="30" borderId="175" xfId="0" applyFont="1" applyFill="1" applyBorder="1" applyAlignment="1">
      <alignment horizontal="center" vertical="center" wrapText="1"/>
    </xf>
    <xf numFmtId="0" fontId="5" fillId="31" borderId="23" xfId="0" applyFont="1" applyFill="1" applyBorder="1" applyAlignment="1">
      <alignment horizontal="center" vertical="center" wrapText="1"/>
    </xf>
    <xf numFmtId="0" fontId="5" fillId="31" borderId="70" xfId="0" applyFont="1" applyFill="1" applyBorder="1" applyAlignment="1">
      <alignment horizontal="center" vertical="center"/>
    </xf>
    <xf numFmtId="188" fontId="64" fillId="28" borderId="4" xfId="1" applyNumberFormat="1" applyFont="1" applyFill="1" applyBorder="1" applyAlignment="1">
      <alignment horizontal="center" vertical="center" wrapText="1"/>
    </xf>
    <xf numFmtId="188" fontId="64" fillId="28" borderId="75" xfId="1" applyNumberFormat="1" applyFont="1" applyFill="1" applyBorder="1" applyAlignment="1">
      <alignment horizontal="center" vertical="center" wrapText="1"/>
    </xf>
    <xf numFmtId="188" fontId="51" fillId="0" borderId="0" xfId="0" applyNumberFormat="1" applyFont="1" applyAlignment="1">
      <alignment horizontal="center" vertical="center"/>
    </xf>
    <xf numFmtId="188" fontId="51" fillId="0" borderId="0" xfId="0" applyNumberFormat="1" applyFont="1" applyAlignment="1">
      <alignment horizontal="center"/>
    </xf>
    <xf numFmtId="0" fontId="5" fillId="10" borderId="15" xfId="0" applyFont="1" applyFill="1" applyBorder="1" applyAlignment="1">
      <alignment horizontal="center" vertical="center"/>
    </xf>
    <xf numFmtId="0" fontId="5" fillId="10" borderId="73" xfId="0" applyFont="1" applyFill="1" applyBorder="1" applyAlignment="1">
      <alignment horizontal="center" vertical="center"/>
    </xf>
    <xf numFmtId="188" fontId="63" fillId="0" borderId="0" xfId="1" applyNumberFormat="1" applyFont="1" applyFill="1" applyAlignment="1">
      <alignment horizontal="center" vertical="center"/>
    </xf>
    <xf numFmtId="188" fontId="4" fillId="0" borderId="0" xfId="1" applyNumberFormat="1" applyFont="1" applyAlignment="1">
      <alignment horizontal="center" vertical="center"/>
    </xf>
    <xf numFmtId="188" fontId="63" fillId="0" borderId="0" xfId="0" applyNumberFormat="1" applyFont="1" applyAlignment="1">
      <alignment horizontal="center" vertical="center"/>
    </xf>
    <xf numFmtId="188" fontId="63" fillId="0" borderId="0" xfId="0" applyNumberFormat="1" applyFont="1" applyAlignment="1">
      <alignment horizontal="center"/>
    </xf>
    <xf numFmtId="188" fontId="70" fillId="28" borderId="4" xfId="1" applyNumberFormat="1" applyFont="1" applyFill="1" applyBorder="1" applyAlignment="1">
      <alignment horizontal="center" vertical="center" wrapText="1"/>
    </xf>
    <xf numFmtId="188" fontId="70" fillId="28" borderId="75" xfId="1" applyNumberFormat="1" applyFont="1" applyFill="1" applyBorder="1" applyAlignment="1">
      <alignment horizontal="center" vertical="center" wrapText="1"/>
    </xf>
    <xf numFmtId="188" fontId="64" fillId="28" borderId="1" xfId="1" applyNumberFormat="1" applyFont="1" applyFill="1" applyBorder="1" applyAlignment="1">
      <alignment horizontal="center" vertical="center" wrapText="1"/>
    </xf>
    <xf numFmtId="188" fontId="64" fillId="28" borderId="107" xfId="1" applyNumberFormat="1" applyFont="1" applyFill="1" applyBorder="1" applyAlignment="1">
      <alignment horizontal="center" vertical="center" wrapText="1"/>
    </xf>
    <xf numFmtId="188" fontId="64" fillId="28" borderId="15" xfId="1" applyNumberFormat="1" applyFont="1" applyFill="1" applyBorder="1" applyAlignment="1">
      <alignment horizontal="center" vertical="center" wrapText="1"/>
    </xf>
    <xf numFmtId="188" fontId="64" fillId="28" borderId="73" xfId="1" applyNumberFormat="1" applyFont="1" applyFill="1" applyBorder="1" applyAlignment="1">
      <alignment horizontal="center" vertical="center" wrapText="1"/>
    </xf>
    <xf numFmtId="0" fontId="3" fillId="18" borderId="124" xfId="12" applyFont="1" applyFill="1" applyBorder="1" applyAlignment="1">
      <alignment horizontal="center" vertical="center"/>
    </xf>
    <xf numFmtId="0" fontId="3" fillId="18" borderId="115" xfId="12" applyFont="1" applyFill="1" applyBorder="1" applyAlignment="1">
      <alignment horizontal="center" vertical="center"/>
    </xf>
    <xf numFmtId="0" fontId="3" fillId="18" borderId="125" xfId="12" applyFont="1" applyFill="1" applyBorder="1" applyAlignment="1">
      <alignment horizontal="center" vertical="center"/>
    </xf>
    <xf numFmtId="0" fontId="3" fillId="0" borderId="115" xfId="12" applyFont="1" applyBorder="1" applyAlignment="1">
      <alignment horizontal="center" vertical="center"/>
    </xf>
    <xf numFmtId="0" fontId="3" fillId="0" borderId="125" xfId="12" applyFont="1" applyBorder="1" applyAlignment="1">
      <alignment horizontal="center" vertical="center"/>
    </xf>
    <xf numFmtId="0" fontId="3" fillId="0" borderId="124" xfId="12" applyFont="1" applyBorder="1" applyAlignment="1">
      <alignment horizontal="center" vertical="center"/>
    </xf>
    <xf numFmtId="0" fontId="3" fillId="0" borderId="123" xfId="12" applyFont="1" applyBorder="1" applyAlignment="1">
      <alignment horizontal="center" vertical="center"/>
    </xf>
    <xf numFmtId="0" fontId="3" fillId="0" borderId="70" xfId="12" applyFont="1" applyBorder="1" applyAlignment="1">
      <alignment horizontal="center" vertical="center"/>
    </xf>
    <xf numFmtId="188" fontId="42" fillId="24" borderId="131" xfId="8" applyNumberFormat="1" applyFont="1" applyFill="1" applyBorder="1" applyAlignment="1">
      <alignment horizontal="center"/>
    </xf>
    <xf numFmtId="188" fontId="42" fillId="24" borderId="176" xfId="8" applyNumberFormat="1" applyFont="1" applyFill="1" applyBorder="1" applyAlignment="1">
      <alignment horizontal="center"/>
    </xf>
    <xf numFmtId="0" fontId="64" fillId="28" borderId="71" xfId="0" applyFont="1" applyFill="1" applyBorder="1" applyAlignment="1">
      <alignment horizontal="center" vertical="center"/>
    </xf>
    <xf numFmtId="0" fontId="64" fillId="28" borderId="15" xfId="0" applyFont="1" applyFill="1" applyBorder="1" applyAlignment="1">
      <alignment horizontal="center" vertical="center"/>
    </xf>
    <xf numFmtId="0" fontId="64" fillId="28" borderId="7" xfId="0" applyFont="1" applyFill="1" applyBorder="1" applyAlignment="1">
      <alignment horizontal="center" vertical="center"/>
    </xf>
    <xf numFmtId="188" fontId="70" fillId="28" borderId="1" xfId="1" applyNumberFormat="1" applyFont="1" applyFill="1" applyBorder="1" applyAlignment="1">
      <alignment horizontal="center" vertical="center" wrapText="1"/>
    </xf>
    <xf numFmtId="188" fontId="64" fillId="28" borderId="9" xfId="1" applyNumberFormat="1" applyFont="1" applyFill="1" applyBorder="1" applyAlignment="1">
      <alignment horizontal="center" vertical="center" wrapText="1"/>
    </xf>
    <xf numFmtId="188" fontId="64" fillId="28" borderId="100" xfId="1" applyNumberFormat="1" applyFont="1" applyFill="1" applyBorder="1" applyAlignment="1">
      <alignment horizontal="center" vertical="center" wrapText="1"/>
    </xf>
    <xf numFmtId="188" fontId="64" fillId="28" borderId="71" xfId="1" applyNumberFormat="1" applyFont="1" applyFill="1" applyBorder="1" applyAlignment="1">
      <alignment horizontal="center" vertical="center" wrapText="1"/>
    </xf>
    <xf numFmtId="0" fontId="5" fillId="10" borderId="76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02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4" fillId="0" borderId="89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100" xfId="0" applyFont="1" applyBorder="1" applyAlignment="1">
      <alignment horizontal="center" vertical="center"/>
    </xf>
    <xf numFmtId="0" fontId="5" fillId="10" borderId="71" xfId="0" applyFont="1" applyFill="1" applyBorder="1" applyAlignment="1">
      <alignment horizontal="center" vertical="center"/>
    </xf>
    <xf numFmtId="188" fontId="66" fillId="0" borderId="0" xfId="1" applyNumberFormat="1" applyFont="1" applyFill="1" applyAlignment="1">
      <alignment horizontal="center" vertical="center"/>
    </xf>
    <xf numFmtId="188" fontId="60" fillId="0" borderId="0" xfId="1" applyNumberFormat="1" applyFont="1" applyBorder="1" applyAlignment="1">
      <alignment horizontal="center"/>
    </xf>
    <xf numFmtId="188" fontId="60" fillId="0" borderId="0" xfId="1" applyNumberFormat="1" applyFont="1" applyFill="1" applyAlignment="1">
      <alignment horizontal="center" vertical="center"/>
    </xf>
    <xf numFmtId="0" fontId="5" fillId="17" borderId="142" xfId="0" applyFont="1" applyFill="1" applyBorder="1" applyAlignment="1">
      <alignment horizontal="center" vertical="center"/>
    </xf>
    <xf numFmtId="0" fontId="5" fillId="17" borderId="177" xfId="0" applyFont="1" applyFill="1" applyBorder="1" applyAlignment="1">
      <alignment horizontal="center" vertical="center"/>
    </xf>
    <xf numFmtId="0" fontId="5" fillId="17" borderId="178" xfId="0" applyFont="1" applyFill="1" applyBorder="1" applyAlignment="1">
      <alignment horizontal="center" vertical="center"/>
    </xf>
    <xf numFmtId="188" fontId="6" fillId="0" borderId="0" xfId="0" applyNumberFormat="1" applyFont="1" applyAlignment="1">
      <alignment horizontal="center"/>
    </xf>
    <xf numFmtId="188" fontId="64" fillId="28" borderId="89" xfId="1" applyNumberFormat="1" applyFont="1" applyFill="1" applyBorder="1" applyAlignment="1">
      <alignment horizontal="center" vertical="center" wrapText="1"/>
    </xf>
    <xf numFmtId="188" fontId="60" fillId="0" borderId="0" xfId="0" applyNumberFormat="1" applyFont="1" applyAlignment="1">
      <alignment horizontal="center"/>
    </xf>
    <xf numFmtId="0" fontId="64" fillId="28" borderId="89" xfId="0" applyFont="1" applyFill="1" applyBorder="1" applyAlignment="1">
      <alignment horizontal="center" vertical="center"/>
    </xf>
    <xf numFmtId="0" fontId="64" fillId="28" borderId="58" xfId="0" applyFont="1" applyFill="1" applyBorder="1" applyAlignment="1">
      <alignment horizontal="center" vertical="center"/>
    </xf>
    <xf numFmtId="0" fontId="64" fillId="28" borderId="6" xfId="0" applyFont="1" applyFill="1" applyBorder="1" applyAlignment="1">
      <alignment horizontal="center" vertical="center"/>
    </xf>
    <xf numFmtId="0" fontId="64" fillId="28" borderId="100" xfId="0" applyFont="1" applyFill="1" applyBorder="1" applyAlignment="1">
      <alignment horizontal="center" vertical="center"/>
    </xf>
    <xf numFmtId="188" fontId="6" fillId="0" borderId="0" xfId="1" applyNumberFormat="1" applyFont="1" applyAlignment="1">
      <alignment horizontal="center" vertical="center"/>
    </xf>
    <xf numFmtId="188" fontId="66" fillId="0" borderId="0" xfId="0" applyNumberFormat="1" applyFont="1" applyAlignment="1">
      <alignment horizontal="center" vertical="center"/>
    </xf>
    <xf numFmtId="188" fontId="64" fillId="28" borderId="79" xfId="1" applyNumberFormat="1" applyFont="1" applyFill="1" applyBorder="1" applyAlignment="1">
      <alignment horizontal="center" vertical="center" wrapText="1"/>
    </xf>
    <xf numFmtId="188" fontId="64" fillId="28" borderId="17" xfId="1" applyNumberFormat="1" applyFont="1" applyFill="1" applyBorder="1" applyAlignment="1">
      <alignment horizontal="center" vertical="center" wrapText="1"/>
    </xf>
    <xf numFmtId="188" fontId="64" fillId="28" borderId="64" xfId="1" applyNumberFormat="1" applyFont="1" applyFill="1" applyBorder="1" applyAlignment="1">
      <alignment horizontal="center" vertical="center" wrapText="1"/>
    </xf>
    <xf numFmtId="0" fontId="64" fillId="13" borderId="132" xfId="0" applyFont="1" applyFill="1" applyBorder="1" applyAlignment="1">
      <alignment horizontal="center"/>
    </xf>
    <xf numFmtId="0" fontId="64" fillId="13" borderId="170" xfId="0" applyFont="1" applyFill="1" applyBorder="1" applyAlignment="1">
      <alignment horizontal="center"/>
    </xf>
    <xf numFmtId="0" fontId="64" fillId="13" borderId="146" xfId="0" applyFont="1" applyFill="1" applyBorder="1" applyAlignment="1">
      <alignment horizontal="center"/>
    </xf>
    <xf numFmtId="188" fontId="66" fillId="0" borderId="0" xfId="0" applyNumberFormat="1" applyFont="1" applyAlignment="1">
      <alignment horizontal="center"/>
    </xf>
    <xf numFmtId="188" fontId="60" fillId="0" borderId="0" xfId="0" applyNumberFormat="1" applyFont="1" applyAlignment="1">
      <alignment horizontal="center" vertical="center"/>
    </xf>
    <xf numFmtId="188" fontId="7" fillId="0" borderId="0" xfId="0" applyNumberFormat="1" applyFont="1" applyAlignment="1">
      <alignment horizontal="center" vertical="center"/>
    </xf>
    <xf numFmtId="188" fontId="61" fillId="0" borderId="0" xfId="0" applyNumberFormat="1" applyFont="1" applyAlignment="1">
      <alignment horizontal="center" vertical="center"/>
    </xf>
    <xf numFmtId="188" fontId="64" fillId="28" borderId="2" xfId="1" applyNumberFormat="1" applyFont="1" applyFill="1" applyBorder="1" applyAlignment="1">
      <alignment horizontal="center" vertical="center" wrapText="1"/>
    </xf>
    <xf numFmtId="0" fontId="3" fillId="14" borderId="2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102" xfId="0" applyFont="1" applyFill="1" applyBorder="1" applyAlignment="1">
      <alignment horizontal="center" vertical="center"/>
    </xf>
    <xf numFmtId="0" fontId="3" fillId="8" borderId="142" xfId="0" applyFont="1" applyFill="1" applyBorder="1" applyAlignment="1">
      <alignment horizontal="center" vertical="center"/>
    </xf>
    <xf numFmtId="0" fontId="3" fillId="8" borderId="177" xfId="0" applyFont="1" applyFill="1" applyBorder="1" applyAlignment="1">
      <alignment horizontal="center" vertical="center"/>
    </xf>
    <xf numFmtId="0" fontId="3" fillId="8" borderId="178" xfId="0" applyFont="1" applyFill="1" applyBorder="1" applyAlignment="1">
      <alignment horizontal="center" vertical="center"/>
    </xf>
    <xf numFmtId="0" fontId="3" fillId="26" borderId="138" xfId="0" applyFont="1" applyFill="1" applyBorder="1" applyAlignment="1">
      <alignment horizontal="center" vertical="center"/>
    </xf>
    <xf numFmtId="0" fontId="3" fillId="26" borderId="139" xfId="0" applyFont="1" applyFill="1" applyBorder="1" applyAlignment="1">
      <alignment horizontal="center" vertical="center"/>
    </xf>
    <xf numFmtId="0" fontId="3" fillId="26" borderId="136" xfId="0" applyFont="1" applyFill="1" applyBorder="1" applyAlignment="1">
      <alignment horizontal="center" vertical="center"/>
    </xf>
    <xf numFmtId="0" fontId="3" fillId="10" borderId="69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3" fillId="10" borderId="19" xfId="0" applyFont="1" applyFill="1" applyBorder="1" applyAlignment="1">
      <alignment horizontal="center" vertical="center" wrapText="1"/>
    </xf>
    <xf numFmtId="0" fontId="3" fillId="8" borderId="86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26" borderId="79" xfId="0" applyFont="1" applyFill="1" applyBorder="1" applyAlignment="1">
      <alignment horizontal="center" vertical="center"/>
    </xf>
    <xf numFmtId="0" fontId="3" fillId="26" borderId="17" xfId="0" applyFont="1" applyFill="1" applyBorder="1" applyAlignment="1">
      <alignment horizontal="center" vertical="center"/>
    </xf>
    <xf numFmtId="0" fontId="3" fillId="26" borderId="10" xfId="0" applyFont="1" applyFill="1" applyBorder="1" applyAlignment="1">
      <alignment horizontal="center" vertical="center"/>
    </xf>
    <xf numFmtId="0" fontId="3" fillId="5" borderId="86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5" borderId="89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center" vertical="top"/>
    </xf>
    <xf numFmtId="0" fontId="3" fillId="5" borderId="100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1" fillId="0" borderId="0" xfId="0" applyFont="1" applyAlignment="1">
      <alignment horizontal="center" vertical="center"/>
    </xf>
    <xf numFmtId="194" fontId="63" fillId="3" borderId="180" xfId="1" applyNumberFormat="1" applyFont="1" applyFill="1" applyBorder="1" applyAlignment="1">
      <alignment horizontal="center" vertical="center"/>
    </xf>
    <xf numFmtId="194" fontId="63" fillId="3" borderId="181" xfId="1" applyNumberFormat="1" applyFont="1" applyFill="1" applyBorder="1" applyAlignment="1">
      <alignment horizontal="center" vertical="center"/>
    </xf>
    <xf numFmtId="188" fontId="63" fillId="3" borderId="187" xfId="1" applyNumberFormat="1" applyFont="1" applyFill="1" applyBorder="1" applyAlignment="1">
      <alignment horizontal="center" vertical="center" wrapText="1"/>
    </xf>
    <xf numFmtId="188" fontId="63" fillId="3" borderId="74" xfId="1" applyNumberFormat="1" applyFont="1" applyFill="1" applyBorder="1" applyAlignment="1">
      <alignment horizontal="center" vertical="center" wrapText="1"/>
    </xf>
    <xf numFmtId="188" fontId="63" fillId="9" borderId="187" xfId="1" applyNumberFormat="1" applyFont="1" applyFill="1" applyBorder="1" applyAlignment="1">
      <alignment horizontal="center" vertical="center" wrapText="1"/>
    </xf>
    <xf numFmtId="188" fontId="63" fillId="9" borderId="74" xfId="1" applyNumberFormat="1" applyFont="1" applyFill="1" applyBorder="1" applyAlignment="1">
      <alignment horizontal="center" vertical="center" wrapText="1"/>
    </xf>
    <xf numFmtId="188" fontId="63" fillId="9" borderId="183" xfId="1" applyNumberFormat="1" applyFont="1" applyFill="1" applyBorder="1" applyAlignment="1">
      <alignment horizontal="center" vertical="center"/>
    </xf>
    <xf numFmtId="188" fontId="63" fillId="9" borderId="163" xfId="1" applyNumberFormat="1" applyFont="1" applyFill="1" applyBorder="1" applyAlignment="1">
      <alignment horizontal="center" vertical="center"/>
    </xf>
    <xf numFmtId="188" fontId="63" fillId="9" borderId="153" xfId="1" applyNumberFormat="1" applyFont="1" applyFill="1" applyBorder="1" applyAlignment="1">
      <alignment horizontal="center" vertical="center"/>
    </xf>
    <xf numFmtId="194" fontId="3" fillId="3" borderId="180" xfId="1" applyNumberFormat="1" applyFont="1" applyFill="1" applyBorder="1" applyAlignment="1">
      <alignment horizontal="center" vertical="center"/>
    </xf>
    <xf numFmtId="194" fontId="3" fillId="3" borderId="181" xfId="1" applyNumberFormat="1" applyFont="1" applyFill="1" applyBorder="1" applyAlignment="1">
      <alignment horizontal="center" vertical="center"/>
    </xf>
    <xf numFmtId="188" fontId="63" fillId="3" borderId="180" xfId="1" applyNumberFormat="1" applyFont="1" applyFill="1" applyBorder="1" applyAlignment="1">
      <alignment horizontal="center" vertical="center"/>
    </xf>
    <xf numFmtId="188" fontId="63" fillId="3" borderId="181" xfId="1" applyNumberFormat="1" applyFont="1" applyFill="1" applyBorder="1" applyAlignment="1">
      <alignment horizontal="center" vertical="center"/>
    </xf>
    <xf numFmtId="188" fontId="63" fillId="38" borderId="179" xfId="1" applyNumberFormat="1" applyFont="1" applyFill="1" applyBorder="1" applyAlignment="1">
      <alignment horizontal="center" vertical="center" wrapText="1"/>
    </xf>
    <xf numFmtId="188" fontId="63" fillId="38" borderId="77" xfId="1" applyNumberFormat="1" applyFont="1" applyFill="1" applyBorder="1" applyAlignment="1">
      <alignment horizontal="center" vertical="center" wrapText="1"/>
    </xf>
    <xf numFmtId="41" fontId="63" fillId="32" borderId="151" xfId="1" applyNumberFormat="1" applyFont="1" applyFill="1" applyBorder="1" applyAlignment="1">
      <alignment horizontal="center" vertical="center" wrapText="1"/>
    </xf>
    <xf numFmtId="41" fontId="63" fillId="32" borderId="75" xfId="1" applyNumberFormat="1" applyFont="1" applyFill="1" applyBorder="1" applyAlignment="1">
      <alignment horizontal="center" vertical="center" wrapText="1"/>
    </xf>
    <xf numFmtId="194" fontId="63" fillId="3" borderId="184" xfId="1" applyNumberFormat="1" applyFont="1" applyFill="1" applyBorder="1" applyAlignment="1">
      <alignment horizontal="center" vertical="center"/>
    </xf>
    <xf numFmtId="194" fontId="63" fillId="3" borderId="185" xfId="1" applyNumberFormat="1" applyFont="1" applyFill="1" applyBorder="1" applyAlignment="1">
      <alignment horizontal="center" vertical="center"/>
    </xf>
    <xf numFmtId="0" fontId="3" fillId="20" borderId="47" xfId="0" applyFont="1" applyFill="1" applyBorder="1" applyAlignment="1">
      <alignment horizontal="left" vertical="top" wrapText="1"/>
    </xf>
    <xf numFmtId="0" fontId="3" fillId="20" borderId="43" xfId="0" applyFont="1" applyFill="1" applyBorder="1" applyAlignment="1">
      <alignment horizontal="left" vertical="top" wrapText="1"/>
    </xf>
    <xf numFmtId="0" fontId="63" fillId="20" borderId="47" xfId="0" applyFont="1" applyFill="1" applyBorder="1" applyAlignment="1">
      <alignment horizontal="left"/>
    </xf>
    <xf numFmtId="0" fontId="63" fillId="20" borderId="43" xfId="0" applyFont="1" applyFill="1" applyBorder="1" applyAlignment="1">
      <alignment horizontal="left"/>
    </xf>
    <xf numFmtId="0" fontId="63" fillId="3" borderId="111" xfId="0" applyFont="1" applyFill="1" applyBorder="1" applyAlignment="1">
      <alignment horizontal="center" vertical="center"/>
    </xf>
    <xf numFmtId="0" fontId="63" fillId="3" borderId="163" xfId="0" applyFont="1" applyFill="1" applyBorder="1" applyAlignment="1">
      <alignment horizontal="center" vertical="center"/>
    </xf>
    <xf numFmtId="0" fontId="63" fillId="3" borderId="153" xfId="0" applyFont="1" applyFill="1" applyBorder="1" applyAlignment="1">
      <alignment horizontal="center" vertical="center"/>
    </xf>
    <xf numFmtId="0" fontId="63" fillId="3" borderId="186" xfId="0" applyFont="1" applyFill="1" applyBorder="1" applyAlignment="1">
      <alignment horizontal="center" vertical="center"/>
    </xf>
    <xf numFmtId="0" fontId="63" fillId="3" borderId="103" xfId="0" applyFont="1" applyFill="1" applyBorder="1" applyAlignment="1">
      <alignment horizontal="center" vertical="center"/>
    </xf>
    <xf numFmtId="0" fontId="63" fillId="3" borderId="116" xfId="0" applyFont="1" applyFill="1" applyBorder="1" applyAlignment="1">
      <alignment horizontal="center" vertical="center"/>
    </xf>
    <xf numFmtId="194" fontId="63" fillId="9" borderId="183" xfId="1" applyNumberFormat="1" applyFont="1" applyFill="1" applyBorder="1" applyAlignment="1">
      <alignment horizontal="center" vertical="center"/>
    </xf>
    <xf numFmtId="194" fontId="63" fillId="9" borderId="163" xfId="1" applyNumberFormat="1" applyFont="1" applyFill="1" applyBorder="1" applyAlignment="1">
      <alignment horizontal="center" vertical="center"/>
    </xf>
    <xf numFmtId="194" fontId="63" fillId="9" borderId="153" xfId="1" applyNumberFormat="1" applyFont="1" applyFill="1" applyBorder="1" applyAlignment="1">
      <alignment horizontal="center" vertical="center"/>
    </xf>
    <xf numFmtId="194" fontId="63" fillId="15" borderId="151" xfId="1" applyNumberFormat="1" applyFont="1" applyFill="1" applyBorder="1" applyAlignment="1">
      <alignment horizontal="center" vertical="center" wrapText="1"/>
    </xf>
    <xf numFmtId="194" fontId="63" fillId="15" borderId="75" xfId="1" applyNumberFormat="1" applyFont="1" applyFill="1" applyBorder="1" applyAlignment="1">
      <alignment horizontal="center" vertical="center" wrapText="1"/>
    </xf>
    <xf numFmtId="0" fontId="52" fillId="11" borderId="47" xfId="0" applyFont="1" applyFill="1" applyBorder="1" applyAlignment="1">
      <alignment horizontal="left" wrapText="1"/>
    </xf>
    <xf numFmtId="0" fontId="52" fillId="11" borderId="43" xfId="0" applyFont="1" applyFill="1" applyBorder="1" applyAlignment="1">
      <alignment horizontal="left" wrapText="1"/>
    </xf>
    <xf numFmtId="0" fontId="64" fillId="11" borderId="47" xfId="0" applyFont="1" applyFill="1" applyBorder="1" applyAlignment="1">
      <alignment horizontal="left" wrapText="1"/>
    </xf>
    <xf numFmtId="0" fontId="64" fillId="11" borderId="43" xfId="0" applyFont="1" applyFill="1" applyBorder="1" applyAlignment="1">
      <alignment horizontal="left" wrapText="1"/>
    </xf>
    <xf numFmtId="0" fontId="63" fillId="11" borderId="47" xfId="0" applyFont="1" applyFill="1" applyBorder="1" applyAlignment="1">
      <alignment horizontal="left" wrapText="1"/>
    </xf>
    <xf numFmtId="0" fontId="63" fillId="11" borderId="43" xfId="0" applyFont="1" applyFill="1" applyBorder="1" applyAlignment="1">
      <alignment horizontal="left" wrapText="1"/>
    </xf>
    <xf numFmtId="188" fontId="63" fillId="3" borderId="182" xfId="1" applyNumberFormat="1" applyFont="1" applyFill="1" applyBorder="1" applyAlignment="1">
      <alignment horizontal="center" vertical="center" wrapText="1"/>
    </xf>
    <xf numFmtId="188" fontId="63" fillId="3" borderId="141" xfId="1" applyNumberFormat="1" applyFont="1" applyFill="1" applyBorder="1" applyAlignment="1">
      <alignment horizontal="center" vertical="center" wrapText="1"/>
    </xf>
    <xf numFmtId="0" fontId="63" fillId="20" borderId="47" xfId="0" applyFont="1" applyFill="1" applyBorder="1" applyAlignment="1">
      <alignment horizontal="left" vertical="top" wrapText="1"/>
    </xf>
    <xf numFmtId="0" fontId="63" fillId="20" borderId="43" xfId="0" applyFont="1" applyFill="1" applyBorder="1" applyAlignment="1">
      <alignment horizontal="left" vertical="top" wrapText="1"/>
    </xf>
    <xf numFmtId="0" fontId="63" fillId="15" borderId="154" xfId="0" applyFont="1" applyFill="1" applyBorder="1" applyAlignment="1">
      <alignment horizontal="left" wrapText="1"/>
    </xf>
    <xf numFmtId="0" fontId="63" fillId="15" borderId="155" xfId="0" applyFont="1" applyFill="1" applyBorder="1" applyAlignment="1">
      <alignment horizontal="left" wrapText="1"/>
    </xf>
    <xf numFmtId="0" fontId="63" fillId="15" borderId="63" xfId="0" applyFont="1" applyFill="1" applyBorder="1" applyAlignment="1">
      <alignment horizontal="left" wrapText="1"/>
    </xf>
    <xf numFmtId="0" fontId="63" fillId="20" borderId="47" xfId="0" applyFont="1" applyFill="1" applyBorder="1" applyAlignment="1">
      <alignment horizontal="left" wrapText="1"/>
    </xf>
    <xf numFmtId="0" fontId="63" fillId="20" borderId="43" xfId="0" applyFont="1" applyFill="1" applyBorder="1" applyAlignment="1">
      <alignment horizontal="left" wrapText="1"/>
    </xf>
    <xf numFmtId="0" fontId="52" fillId="3" borderId="47" xfId="0" applyFont="1" applyFill="1" applyBorder="1" applyAlignment="1">
      <alignment horizontal="left" wrapText="1"/>
    </xf>
    <xf numFmtId="0" fontId="52" fillId="3" borderId="43" xfId="0" applyFont="1" applyFill="1" applyBorder="1" applyAlignment="1">
      <alignment horizontal="left" wrapText="1"/>
    </xf>
    <xf numFmtId="0" fontId="63" fillId="20" borderId="48" xfId="0" applyFont="1" applyFill="1" applyBorder="1" applyAlignment="1">
      <alignment horizontal="left" wrapText="1"/>
    </xf>
    <xf numFmtId="194" fontId="63" fillId="3" borderId="93" xfId="1" applyNumberFormat="1" applyFont="1" applyFill="1" applyBorder="1" applyAlignment="1">
      <alignment horizontal="center" vertical="center" wrapText="1"/>
    </xf>
    <xf numFmtId="194" fontId="63" fillId="3" borderId="0" xfId="1" applyNumberFormat="1" applyFont="1" applyFill="1" applyBorder="1" applyAlignment="1">
      <alignment horizontal="center" vertical="center" wrapText="1"/>
    </xf>
    <xf numFmtId="188" fontId="3" fillId="3" borderId="180" xfId="1" applyNumberFormat="1" applyFont="1" applyFill="1" applyBorder="1" applyAlignment="1">
      <alignment horizontal="center" vertical="center"/>
    </xf>
    <xf numFmtId="188" fontId="3" fillId="3" borderId="181" xfId="1" applyNumberFormat="1" applyFont="1" applyFill="1" applyBorder="1" applyAlignment="1">
      <alignment horizontal="center" vertical="center"/>
    </xf>
    <xf numFmtId="194" fontId="63" fillId="3" borderId="184" xfId="1" applyNumberFormat="1" applyFont="1" applyFill="1" applyBorder="1" applyAlignment="1">
      <alignment horizontal="center" vertical="center" wrapText="1"/>
    </xf>
    <xf numFmtId="194" fontId="63" fillId="3" borderId="185" xfId="1" applyNumberFormat="1" applyFont="1" applyFill="1" applyBorder="1" applyAlignment="1">
      <alignment horizontal="center" vertical="center" wrapText="1"/>
    </xf>
    <xf numFmtId="194" fontId="63" fillId="40" borderId="151" xfId="1" applyNumberFormat="1" applyFont="1" applyFill="1" applyBorder="1" applyAlignment="1">
      <alignment horizontal="center" vertical="center" wrapText="1"/>
    </xf>
    <xf numFmtId="194" fontId="63" fillId="40" borderId="75" xfId="1" applyNumberFormat="1" applyFont="1" applyFill="1" applyBorder="1" applyAlignment="1">
      <alignment horizontal="center" vertical="center" wrapText="1"/>
    </xf>
    <xf numFmtId="188" fontId="3" fillId="9" borderId="183" xfId="1" applyNumberFormat="1" applyFont="1" applyFill="1" applyBorder="1" applyAlignment="1">
      <alignment horizontal="center" vertical="center"/>
    </xf>
    <xf numFmtId="188" fontId="3" fillId="9" borderId="163" xfId="1" applyNumberFormat="1" applyFont="1" applyFill="1" applyBorder="1" applyAlignment="1">
      <alignment horizontal="center" vertical="center"/>
    </xf>
    <xf numFmtId="188" fontId="3" fillId="9" borderId="153" xfId="1" applyNumberFormat="1" applyFont="1" applyFill="1" applyBorder="1" applyAlignment="1">
      <alignment horizontal="center" vertical="center"/>
    </xf>
    <xf numFmtId="188" fontId="3" fillId="7" borderId="187" xfId="1" applyNumberFormat="1" applyFont="1" applyFill="1" applyBorder="1" applyAlignment="1">
      <alignment horizontal="center" vertical="center" wrapText="1"/>
    </xf>
    <xf numFmtId="188" fontId="3" fillId="7" borderId="74" xfId="1" applyNumberFormat="1" applyFont="1" applyFill="1" applyBorder="1" applyAlignment="1">
      <alignment horizontal="center" vertical="center" wrapText="1"/>
    </xf>
    <xf numFmtId="188" fontId="3" fillId="38" borderId="179" xfId="1" applyNumberFormat="1" applyFont="1" applyFill="1" applyBorder="1" applyAlignment="1">
      <alignment horizontal="center" vertical="center" wrapText="1"/>
    </xf>
    <xf numFmtId="188" fontId="3" fillId="38" borderId="77" xfId="1" applyNumberFormat="1" applyFont="1" applyFill="1" applyBorder="1" applyAlignment="1">
      <alignment horizontal="center" vertical="center" wrapText="1"/>
    </xf>
    <xf numFmtId="41" fontId="3" fillId="32" borderId="151" xfId="1" applyNumberFormat="1" applyFont="1" applyFill="1" applyBorder="1" applyAlignment="1">
      <alignment horizontal="center" vertical="center" wrapText="1"/>
    </xf>
    <xf numFmtId="41" fontId="3" fillId="32" borderId="75" xfId="1" applyNumberFormat="1" applyFont="1" applyFill="1" applyBorder="1" applyAlignment="1">
      <alignment horizontal="center" vertical="center" wrapText="1"/>
    </xf>
    <xf numFmtId="194" fontId="3" fillId="9" borderId="183" xfId="1" applyNumberFormat="1" applyFont="1" applyFill="1" applyBorder="1" applyAlignment="1">
      <alignment horizontal="center" vertical="center"/>
    </xf>
    <xf numFmtId="194" fontId="3" fillId="9" borderId="163" xfId="1" applyNumberFormat="1" applyFont="1" applyFill="1" applyBorder="1" applyAlignment="1">
      <alignment horizontal="center" vertical="center"/>
    </xf>
    <xf numFmtId="194" fontId="3" fillId="9" borderId="153" xfId="1" applyNumberFormat="1" applyFont="1" applyFill="1" applyBorder="1" applyAlignment="1">
      <alignment horizontal="center" vertical="center"/>
    </xf>
    <xf numFmtId="188" fontId="3" fillId="3" borderId="182" xfId="1" applyNumberFormat="1" applyFont="1" applyFill="1" applyBorder="1" applyAlignment="1">
      <alignment horizontal="center" vertical="center" wrapText="1"/>
    </xf>
    <xf numFmtId="188" fontId="3" fillId="3" borderId="141" xfId="1" applyNumberFormat="1" applyFont="1" applyFill="1" applyBorder="1" applyAlignment="1">
      <alignment horizontal="center" vertical="center" wrapText="1"/>
    </xf>
    <xf numFmtId="188" fontId="3" fillId="32" borderId="187" xfId="1" applyNumberFormat="1" applyFont="1" applyFill="1" applyBorder="1" applyAlignment="1">
      <alignment horizontal="center" vertical="center" wrapText="1"/>
    </xf>
    <xf numFmtId="188" fontId="3" fillId="32" borderId="74" xfId="1" applyNumberFormat="1" applyFont="1" applyFill="1" applyBorder="1" applyAlignment="1">
      <alignment horizontal="center" vertical="center" wrapText="1"/>
    </xf>
    <xf numFmtId="188" fontId="3" fillId="9" borderId="187" xfId="1" applyNumberFormat="1" applyFont="1" applyFill="1" applyBorder="1" applyAlignment="1">
      <alignment horizontal="center" vertical="center" wrapText="1"/>
    </xf>
    <xf numFmtId="188" fontId="3" fillId="9" borderId="74" xfId="1" applyNumberFormat="1" applyFont="1" applyFill="1" applyBorder="1" applyAlignment="1">
      <alignment horizontal="center" vertical="center" wrapText="1"/>
    </xf>
    <xf numFmtId="0" fontId="52" fillId="8" borderId="155" xfId="0" applyFont="1" applyFill="1" applyBorder="1" applyAlignment="1">
      <alignment horizontal="left" vertical="center" wrapText="1"/>
    </xf>
    <xf numFmtId="0" fontId="52" fillId="8" borderId="63" xfId="0" applyFont="1" applyFill="1" applyBorder="1" applyAlignment="1">
      <alignment horizontal="left" vertical="center" wrapText="1"/>
    </xf>
    <xf numFmtId="0" fontId="64" fillId="32" borderId="47" xfId="0" applyFont="1" applyFill="1" applyBorder="1" applyAlignment="1">
      <alignment horizontal="left" wrapText="1"/>
    </xf>
    <xf numFmtId="0" fontId="64" fillId="32" borderId="43" xfId="0" applyFont="1" applyFill="1" applyBorder="1" applyAlignment="1">
      <alignment horizontal="left" wrapText="1"/>
    </xf>
    <xf numFmtId="0" fontId="64" fillId="8" borderId="47" xfId="0" applyFont="1" applyFill="1" applyBorder="1" applyAlignment="1">
      <alignment horizontal="left" vertical="center" wrapText="1"/>
    </xf>
    <xf numFmtId="0" fontId="64" fillId="8" borderId="43" xfId="0" applyFont="1" applyFill="1" applyBorder="1" applyAlignment="1">
      <alignment horizontal="left" vertical="center" wrapText="1"/>
    </xf>
    <xf numFmtId="188" fontId="3" fillId="3" borderId="137" xfId="1" applyNumberFormat="1" applyFont="1" applyFill="1" applyBorder="1" applyAlignment="1">
      <alignment horizontal="center" vertical="center"/>
    </xf>
    <xf numFmtId="188" fontId="3" fillId="3" borderId="171" xfId="1" applyNumberFormat="1" applyFont="1" applyFill="1" applyBorder="1" applyAlignment="1">
      <alignment horizontal="center" vertical="center"/>
    </xf>
    <xf numFmtId="0" fontId="63" fillId="3" borderId="124" xfId="0" applyFont="1" applyFill="1" applyBorder="1" applyAlignment="1">
      <alignment horizontal="center"/>
    </xf>
    <xf numFmtId="0" fontId="63" fillId="3" borderId="115" xfId="0" applyFont="1" applyFill="1" applyBorder="1" applyAlignment="1">
      <alignment horizontal="center"/>
    </xf>
    <xf numFmtId="0" fontId="63" fillId="3" borderId="125" xfId="0" applyFont="1" applyFill="1" applyBorder="1" applyAlignment="1">
      <alignment horizontal="center"/>
    </xf>
    <xf numFmtId="0" fontId="5" fillId="32" borderId="59" xfId="0" applyFont="1" applyFill="1" applyBorder="1" applyAlignment="1">
      <alignment horizontal="left" vertical="top" wrapText="1"/>
    </xf>
    <xf numFmtId="0" fontId="5" fillId="32" borderId="223" xfId="0" applyFont="1" applyFill="1" applyBorder="1" applyAlignment="1">
      <alignment horizontal="left" vertical="top" wrapText="1"/>
    </xf>
    <xf numFmtId="0" fontId="64" fillId="8" borderId="47" xfId="0" applyFont="1" applyFill="1" applyBorder="1" applyAlignment="1">
      <alignment horizontal="left" wrapText="1"/>
    </xf>
    <xf numFmtId="0" fontId="64" fillId="8" borderId="43" xfId="0" applyFont="1" applyFill="1" applyBorder="1" applyAlignment="1">
      <alignment horizontal="left" wrapText="1"/>
    </xf>
    <xf numFmtId="0" fontId="64" fillId="8" borderId="0" xfId="0" applyFont="1" applyFill="1" applyAlignment="1">
      <alignment horizontal="left" wrapText="1"/>
    </xf>
    <xf numFmtId="0" fontId="64" fillId="8" borderId="11" xfId="0" applyFont="1" applyFill="1" applyBorder="1" applyAlignment="1">
      <alignment horizontal="left" wrapText="1"/>
    </xf>
    <xf numFmtId="194" fontId="3" fillId="6" borderId="137" xfId="1" applyNumberFormat="1" applyFont="1" applyFill="1" applyBorder="1" applyAlignment="1">
      <alignment horizontal="center" vertical="center"/>
    </xf>
    <xf numFmtId="194" fontId="3" fillId="6" borderId="177" xfId="1" applyNumberFormat="1" applyFont="1" applyFill="1" applyBorder="1" applyAlignment="1">
      <alignment horizontal="center" vertical="center"/>
    </xf>
    <xf numFmtId="194" fontId="3" fillId="6" borderId="178" xfId="1" applyNumberFormat="1" applyFont="1" applyFill="1" applyBorder="1" applyAlignment="1">
      <alignment horizontal="center" vertical="center"/>
    </xf>
    <xf numFmtId="0" fontId="63" fillId="20" borderId="211" xfId="0" applyFont="1" applyFill="1" applyBorder="1" applyAlignment="1">
      <alignment horizontal="left" wrapText="1"/>
    </xf>
    <xf numFmtId="0" fontId="63" fillId="20" borderId="157" xfId="0" applyFont="1" applyFill="1" applyBorder="1" applyAlignment="1">
      <alignment horizontal="left" wrapText="1"/>
    </xf>
    <xf numFmtId="194" fontId="3" fillId="3" borderId="137" xfId="1" applyNumberFormat="1" applyFont="1" applyFill="1" applyBorder="1" applyAlignment="1">
      <alignment horizontal="center" vertical="center"/>
    </xf>
    <xf numFmtId="194" fontId="3" fillId="3" borderId="171" xfId="1" applyNumberFormat="1" applyFont="1" applyFill="1" applyBorder="1" applyAlignment="1">
      <alignment horizontal="center" vertical="center"/>
    </xf>
    <xf numFmtId="188" fontId="3" fillId="9" borderId="82" xfId="1" applyNumberFormat="1" applyFont="1" applyFill="1" applyBorder="1" applyAlignment="1">
      <alignment horizontal="center" vertical="center" wrapText="1"/>
    </xf>
    <xf numFmtId="188" fontId="3" fillId="38" borderId="83" xfId="1" applyNumberFormat="1" applyFont="1" applyFill="1" applyBorder="1" applyAlignment="1">
      <alignment horizontal="center" vertical="center" wrapText="1"/>
    </xf>
    <xf numFmtId="41" fontId="3" fillId="32" borderId="81" xfId="1" applyNumberFormat="1" applyFont="1" applyFill="1" applyBorder="1" applyAlignment="1">
      <alignment horizontal="center" vertical="center" wrapText="1"/>
    </xf>
    <xf numFmtId="188" fontId="3" fillId="7" borderId="82" xfId="1" applyNumberFormat="1" applyFont="1" applyFill="1" applyBorder="1" applyAlignment="1">
      <alignment horizontal="center" vertical="center" wrapText="1"/>
    </xf>
    <xf numFmtId="0" fontId="72" fillId="22" borderId="124" xfId="0" applyFont="1" applyFill="1" applyBorder="1" applyAlignment="1">
      <alignment horizontal="center" vertical="center"/>
    </xf>
    <xf numFmtId="0" fontId="72" fillId="22" borderId="115" xfId="0" applyFont="1" applyFill="1" applyBorder="1" applyAlignment="1">
      <alignment horizontal="center" vertical="center"/>
    </xf>
    <xf numFmtId="0" fontId="72" fillId="22" borderId="125" xfId="0" applyFont="1" applyFill="1" applyBorder="1" applyAlignment="1">
      <alignment horizontal="center" vertical="center"/>
    </xf>
    <xf numFmtId="188" fontId="3" fillId="0" borderId="137" xfId="1" applyNumberFormat="1" applyFont="1" applyFill="1" applyBorder="1" applyAlignment="1">
      <alignment horizontal="center" vertical="center" wrapText="1"/>
    </xf>
    <xf numFmtId="188" fontId="3" fillId="0" borderId="177" xfId="1" applyNumberFormat="1" applyFont="1" applyFill="1" applyBorder="1" applyAlignment="1">
      <alignment horizontal="center" vertical="center" wrapText="1"/>
    </xf>
    <xf numFmtId="188" fontId="3" fillId="0" borderId="171" xfId="1" applyNumberFormat="1" applyFont="1" applyFill="1" applyBorder="1" applyAlignment="1">
      <alignment horizontal="center" vertical="center" wrapText="1"/>
    </xf>
    <xf numFmtId="0" fontId="63" fillId="45" borderId="99" xfId="0" applyFont="1" applyFill="1" applyBorder="1" applyAlignment="1">
      <alignment horizontal="center" vertical="center"/>
    </xf>
    <xf numFmtId="0" fontId="63" fillId="45" borderId="17" xfId="0" applyFont="1" applyFill="1" applyBorder="1" applyAlignment="1">
      <alignment horizontal="center" vertical="center"/>
    </xf>
    <xf numFmtId="0" fontId="63" fillId="45" borderId="18" xfId="0" applyFont="1" applyFill="1" applyBorder="1" applyAlignment="1">
      <alignment horizontal="center" vertical="center"/>
    </xf>
    <xf numFmtId="0" fontId="63" fillId="45" borderId="99" xfId="0" applyFont="1" applyFill="1" applyBorder="1" applyAlignment="1">
      <alignment horizontal="center" wrapText="1"/>
    </xf>
    <xf numFmtId="0" fontId="63" fillId="45" borderId="17" xfId="0" applyFont="1" applyFill="1" applyBorder="1" applyAlignment="1">
      <alignment horizontal="center" wrapText="1"/>
    </xf>
    <xf numFmtId="0" fontId="63" fillId="45" borderId="18" xfId="0" applyFont="1" applyFill="1" applyBorder="1" applyAlignment="1">
      <alignment horizontal="center" wrapText="1"/>
    </xf>
    <xf numFmtId="194" fontId="3" fillId="3" borderId="177" xfId="1" applyNumberFormat="1" applyFont="1" applyFill="1" applyBorder="1" applyAlignment="1">
      <alignment horizontal="center" vertical="center"/>
    </xf>
    <xf numFmtId="41" fontId="3" fillId="32" borderId="81" xfId="1" applyNumberFormat="1" applyFont="1" applyFill="1" applyBorder="1" applyAlignment="1">
      <alignment horizontal="center" wrapText="1"/>
    </xf>
    <xf numFmtId="41" fontId="3" fillId="32" borderId="75" xfId="1" applyNumberFormat="1" applyFont="1" applyFill="1" applyBorder="1" applyAlignment="1">
      <alignment horizontal="center" wrapText="1"/>
    </xf>
    <xf numFmtId="194" fontId="63" fillId="3" borderId="137" xfId="1" applyNumberFormat="1" applyFont="1" applyFill="1" applyBorder="1" applyAlignment="1">
      <alignment horizontal="center" vertical="center"/>
    </xf>
    <xf numFmtId="194" fontId="63" fillId="3" borderId="171" xfId="1" applyNumberFormat="1" applyFont="1" applyFill="1" applyBorder="1" applyAlignment="1">
      <alignment horizontal="center" vertical="center"/>
    </xf>
    <xf numFmtId="0" fontId="63" fillId="3" borderId="80" xfId="0" applyFont="1" applyFill="1" applyBorder="1" applyAlignment="1">
      <alignment horizontal="center" vertical="center"/>
    </xf>
    <xf numFmtId="0" fontId="63" fillId="3" borderId="220" xfId="0" applyFont="1" applyFill="1" applyBorder="1" applyAlignment="1">
      <alignment horizontal="center" vertical="center"/>
    </xf>
    <xf numFmtId="0" fontId="63" fillId="3" borderId="72" xfId="0" applyFont="1" applyFill="1" applyBorder="1" applyAlignment="1">
      <alignment horizontal="center" vertical="center"/>
    </xf>
    <xf numFmtId="188" fontId="3" fillId="3" borderId="221" xfId="1" applyNumberFormat="1" applyFont="1" applyFill="1" applyBorder="1" applyAlignment="1">
      <alignment horizontal="center" vertical="center" wrapText="1"/>
    </xf>
    <xf numFmtId="188" fontId="3" fillId="32" borderId="222" xfId="1" applyNumberFormat="1" applyFont="1" applyFill="1" applyBorder="1" applyAlignment="1">
      <alignment horizontal="center" vertical="center" wrapText="1"/>
    </xf>
    <xf numFmtId="188" fontId="3" fillId="32" borderId="116" xfId="1" applyNumberFormat="1" applyFont="1" applyFill="1" applyBorder="1" applyAlignment="1">
      <alignment horizontal="center" vertical="center" wrapText="1"/>
    </xf>
    <xf numFmtId="188" fontId="3" fillId="38" borderId="222" xfId="1" applyNumberFormat="1" applyFont="1" applyFill="1" applyBorder="1" applyAlignment="1">
      <alignment horizontal="center" vertical="center" wrapText="1"/>
    </xf>
    <xf numFmtId="188" fontId="3" fillId="38" borderId="116" xfId="1" applyNumberFormat="1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3" fillId="8" borderId="188" xfId="0" applyFont="1" applyFill="1" applyBorder="1" applyAlignment="1">
      <alignment horizontal="center" vertical="center"/>
    </xf>
    <xf numFmtId="0" fontId="3" fillId="8" borderId="180" xfId="0" applyFont="1" applyFill="1" applyBorder="1" applyAlignment="1">
      <alignment horizontal="center" vertical="center"/>
    </xf>
    <xf numFmtId="0" fontId="3" fillId="8" borderId="189" xfId="0" applyFont="1" applyFill="1" applyBorder="1" applyAlignment="1">
      <alignment horizontal="center" vertical="center"/>
    </xf>
    <xf numFmtId="0" fontId="3" fillId="8" borderId="160" xfId="0" applyFont="1" applyFill="1" applyBorder="1" applyAlignment="1">
      <alignment horizontal="center" vertical="center"/>
    </xf>
    <xf numFmtId="0" fontId="3" fillId="8" borderId="161" xfId="0" applyFont="1" applyFill="1" applyBorder="1" applyAlignment="1">
      <alignment horizontal="center" vertical="center"/>
    </xf>
    <xf numFmtId="0" fontId="3" fillId="8" borderId="184" xfId="0" applyFont="1" applyFill="1" applyBorder="1" applyAlignment="1">
      <alignment horizontal="center" vertical="top" wrapText="1"/>
    </xf>
    <xf numFmtId="0" fontId="3" fillId="8" borderId="5" xfId="0" applyFont="1" applyFill="1" applyBorder="1" applyAlignment="1">
      <alignment horizontal="center" vertical="top" wrapText="1"/>
    </xf>
    <xf numFmtId="0" fontId="3" fillId="8" borderId="8" xfId="0" applyFont="1" applyFill="1" applyBorder="1" applyAlignment="1">
      <alignment horizontal="center" vertical="top" wrapText="1"/>
    </xf>
    <xf numFmtId="0" fontId="3" fillId="8" borderId="203" xfId="0" applyFont="1" applyFill="1" applyBorder="1" applyAlignment="1">
      <alignment horizontal="center" vertical="center" wrapText="1"/>
    </xf>
    <xf numFmtId="0" fontId="3" fillId="8" borderId="9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top"/>
    </xf>
    <xf numFmtId="0" fontId="3" fillId="8" borderId="5" xfId="0" applyFont="1" applyFill="1" applyBorder="1" applyAlignment="1">
      <alignment horizontal="center" vertical="top"/>
    </xf>
    <xf numFmtId="0" fontId="3" fillId="8" borderId="8" xfId="0" applyFont="1" applyFill="1" applyBorder="1" applyAlignment="1">
      <alignment horizontal="center" vertical="top"/>
    </xf>
    <xf numFmtId="0" fontId="3" fillId="8" borderId="4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197" fontId="8" fillId="0" borderId="204" xfId="0" applyNumberFormat="1" applyFont="1" applyBorder="1" applyAlignment="1">
      <alignment horizontal="center" vertical="center"/>
    </xf>
    <xf numFmtId="197" fontId="8" fillId="0" borderId="205" xfId="0" applyNumberFormat="1" applyFont="1" applyBorder="1" applyAlignment="1">
      <alignment horizontal="center" vertical="center"/>
    </xf>
    <xf numFmtId="0" fontId="3" fillId="43" borderId="0" xfId="0" applyFont="1" applyFill="1" applyAlignment="1">
      <alignment horizontal="center" vertical="center"/>
    </xf>
    <xf numFmtId="197" fontId="8" fillId="0" borderId="108" xfId="0" applyNumberFormat="1" applyFont="1" applyBorder="1" applyAlignment="1">
      <alignment horizontal="center"/>
    </xf>
    <xf numFmtId="0" fontId="3" fillId="9" borderId="0" xfId="0" applyFont="1" applyFill="1" applyAlignment="1">
      <alignment horizontal="center" vertical="center"/>
    </xf>
    <xf numFmtId="0" fontId="7" fillId="24" borderId="93" xfId="0" applyFont="1" applyFill="1" applyBorder="1" applyAlignment="1">
      <alignment horizontal="center" wrapText="1"/>
    </xf>
    <xf numFmtId="0" fontId="7" fillId="24" borderId="11" xfId="0" applyFont="1" applyFill="1" applyBorder="1" applyAlignment="1">
      <alignment horizontal="center" wrapText="1"/>
    </xf>
    <xf numFmtId="0" fontId="5" fillId="24" borderId="93" xfId="0" applyFont="1" applyFill="1" applyBorder="1" applyAlignment="1">
      <alignment horizontal="left" wrapText="1"/>
    </xf>
    <xf numFmtId="0" fontId="5" fillId="24" borderId="11" xfId="0" applyFont="1" applyFill="1" applyBorder="1" applyAlignment="1">
      <alignment horizontal="left" wrapText="1"/>
    </xf>
    <xf numFmtId="3" fontId="3" fillId="9" borderId="0" xfId="0" applyNumberFormat="1" applyFont="1" applyFill="1" applyAlignment="1">
      <alignment horizontal="center" vertical="center" wrapText="1"/>
    </xf>
    <xf numFmtId="0" fontId="5" fillId="8" borderId="2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 wrapText="1"/>
    </xf>
    <xf numFmtId="0" fontId="3" fillId="0" borderId="177" xfId="0" applyFont="1" applyBorder="1" applyAlignment="1">
      <alignment horizontal="center" vertical="center"/>
    </xf>
    <xf numFmtId="0" fontId="3" fillId="0" borderId="142" xfId="0" applyFont="1" applyBorder="1" applyAlignment="1">
      <alignment horizontal="center" vertical="center"/>
    </xf>
    <xf numFmtId="0" fontId="3" fillId="0" borderId="178" xfId="0" applyFont="1" applyBorder="1" applyAlignment="1">
      <alignment horizontal="center" vertical="center"/>
    </xf>
    <xf numFmtId="188" fontId="3" fillId="0" borderId="142" xfId="1" applyNumberFormat="1" applyFont="1" applyFill="1" applyBorder="1" applyAlignment="1">
      <alignment horizontal="center" vertical="center"/>
    </xf>
    <xf numFmtId="188" fontId="3" fillId="0" borderId="177" xfId="1" applyNumberFormat="1" applyFont="1" applyFill="1" applyBorder="1" applyAlignment="1">
      <alignment horizontal="center" vertical="center"/>
    </xf>
    <xf numFmtId="188" fontId="3" fillId="0" borderId="178" xfId="1" applyNumberFormat="1" applyFont="1" applyFill="1" applyBorder="1" applyAlignment="1">
      <alignment horizontal="center" vertical="center"/>
    </xf>
    <xf numFmtId="188" fontId="3" fillId="0" borderId="80" xfId="1" applyNumberFormat="1" applyFont="1" applyFill="1" applyBorder="1" applyAlignment="1">
      <alignment horizontal="center" vertical="center"/>
    </xf>
    <xf numFmtId="188" fontId="3" fillId="0" borderId="72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97" fontId="8" fillId="0" borderId="204" xfId="0" applyNumberFormat="1" applyFont="1" applyBorder="1" applyAlignment="1">
      <alignment horizontal="left" vertical="center"/>
    </xf>
    <xf numFmtId="197" fontId="8" fillId="0" borderId="205" xfId="0" applyNumberFormat="1" applyFont="1" applyBorder="1" applyAlignment="1">
      <alignment horizontal="left" vertical="center"/>
    </xf>
    <xf numFmtId="0" fontId="3" fillId="51" borderId="0" xfId="0" applyFont="1" applyFill="1" applyAlignment="1">
      <alignment horizontal="center" vertical="center"/>
    </xf>
    <xf numFmtId="188" fontId="5" fillId="0" borderId="163" xfId="1" applyNumberFormat="1" applyFont="1" applyBorder="1" applyAlignment="1">
      <alignment horizontal="center" vertical="center"/>
    </xf>
    <xf numFmtId="188" fontId="5" fillId="0" borderId="164" xfId="1" applyNumberFormat="1" applyFont="1" applyBorder="1" applyAlignment="1">
      <alignment horizontal="center" vertical="center"/>
    </xf>
    <xf numFmtId="197" fontId="5" fillId="0" borderId="15" xfId="1" applyNumberFormat="1" applyFont="1" applyBorder="1" applyAlignment="1">
      <alignment horizontal="center" vertical="center"/>
    </xf>
    <xf numFmtId="197" fontId="5" fillId="0" borderId="165" xfId="1" applyNumberFormat="1" applyFont="1" applyBorder="1" applyAlignment="1">
      <alignment horizontal="center" vertical="center"/>
    </xf>
    <xf numFmtId="43" fontId="7" fillId="0" borderId="137" xfId="1" applyFont="1" applyBorder="1" applyAlignment="1">
      <alignment horizontal="center"/>
    </xf>
    <xf numFmtId="43" fontId="7" fillId="0" borderId="177" xfId="1" applyFont="1" applyBorder="1" applyAlignment="1">
      <alignment horizontal="center"/>
    </xf>
    <xf numFmtId="43" fontId="7" fillId="0" borderId="21" xfId="1" applyFont="1" applyBorder="1" applyAlignment="1">
      <alignment horizontal="center" vertical="center"/>
    </xf>
    <xf numFmtId="43" fontId="7" fillId="0" borderId="76" xfId="1" applyFont="1" applyBorder="1" applyAlignment="1">
      <alignment horizontal="center" vertical="center"/>
    </xf>
    <xf numFmtId="43" fontId="3" fillId="0" borderId="99" xfId="1" applyFont="1" applyFill="1" applyBorder="1" applyAlignment="1">
      <alignment horizontal="center" vertical="center"/>
    </xf>
    <xf numFmtId="43" fontId="3" fillId="0" borderId="17" xfId="1" applyFont="1" applyFill="1" applyBorder="1" applyAlignment="1">
      <alignment horizontal="center" vertical="center"/>
    </xf>
    <xf numFmtId="43" fontId="3" fillId="0" borderId="18" xfId="1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228" xfId="0" applyFont="1" applyBorder="1" applyAlignment="1">
      <alignment horizontal="center" vertical="center"/>
    </xf>
    <xf numFmtId="0" fontId="3" fillId="0" borderId="232" xfId="0" applyFont="1" applyBorder="1" applyAlignment="1">
      <alignment horizontal="center" vertical="center"/>
    </xf>
    <xf numFmtId="0" fontId="3" fillId="0" borderId="233" xfId="0" applyFont="1" applyBorder="1" applyAlignment="1">
      <alignment horizontal="center" vertical="center"/>
    </xf>
    <xf numFmtId="43" fontId="3" fillId="19" borderId="229" xfId="1" applyFont="1" applyFill="1" applyBorder="1" applyAlignment="1">
      <alignment horizontal="center" vertical="center"/>
    </xf>
    <xf numFmtId="43" fontId="3" fillId="19" borderId="230" xfId="1" applyFont="1" applyFill="1" applyBorder="1" applyAlignment="1">
      <alignment horizontal="center" vertical="center"/>
    </xf>
    <xf numFmtId="43" fontId="3" fillId="19" borderId="23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8" fontId="3" fillId="39" borderId="99" xfId="1" applyNumberFormat="1" applyFont="1" applyFill="1" applyBorder="1" applyAlignment="1">
      <alignment horizontal="center" vertical="center"/>
    </xf>
    <xf numFmtId="188" fontId="3" fillId="39" borderId="17" xfId="1" applyNumberFormat="1" applyFont="1" applyFill="1" applyBorder="1" applyAlignment="1">
      <alignment horizontal="center" vertical="center"/>
    </xf>
    <xf numFmtId="188" fontId="3" fillId="39" borderId="18" xfId="1" applyNumberFormat="1" applyFont="1" applyFill="1" applyBorder="1" applyAlignment="1">
      <alignment horizontal="center" vertical="center"/>
    </xf>
    <xf numFmtId="188" fontId="3" fillId="0" borderId="99" xfId="1" applyNumberFormat="1" applyFont="1" applyFill="1" applyBorder="1" applyAlignment="1">
      <alignment horizontal="center"/>
    </xf>
    <xf numFmtId="188" fontId="3" fillId="0" borderId="17" xfId="1" applyNumberFormat="1" applyFont="1" applyFill="1" applyBorder="1" applyAlignment="1">
      <alignment horizontal="center"/>
    </xf>
    <xf numFmtId="188" fontId="3" fillId="0" borderId="18" xfId="1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43" fontId="3" fillId="0" borderId="99" xfId="1" applyFont="1" applyFill="1" applyBorder="1" applyAlignment="1">
      <alignment horizontal="center"/>
    </xf>
    <xf numFmtId="43" fontId="3" fillId="0" borderId="17" xfId="1" applyFont="1" applyFill="1" applyBorder="1" applyAlignment="1">
      <alignment horizontal="center"/>
    </xf>
    <xf numFmtId="43" fontId="3" fillId="0" borderId="18" xfId="1" applyFont="1" applyFill="1" applyBorder="1" applyAlignment="1">
      <alignment horizontal="center"/>
    </xf>
    <xf numFmtId="43" fontId="3" fillId="39" borderId="229" xfId="1" applyFont="1" applyFill="1" applyBorder="1" applyAlignment="1">
      <alignment horizontal="center" vertical="center"/>
    </xf>
    <xf numFmtId="43" fontId="3" fillId="39" borderId="230" xfId="1" applyFont="1" applyFill="1" applyBorder="1" applyAlignment="1">
      <alignment horizontal="center" vertical="center"/>
    </xf>
    <xf numFmtId="43" fontId="3" fillId="39" borderId="231" xfId="1" applyFont="1" applyFill="1" applyBorder="1" applyAlignment="1">
      <alignment horizontal="center" vertical="center"/>
    </xf>
    <xf numFmtId="188" fontId="3" fillId="0" borderId="2" xfId="1" applyNumberFormat="1" applyFont="1" applyBorder="1" applyAlignment="1">
      <alignment horizontal="center" vertical="center"/>
    </xf>
    <xf numFmtId="188" fontId="3" fillId="0" borderId="1" xfId="1" applyNumberFormat="1" applyFont="1" applyBorder="1" applyAlignment="1">
      <alignment horizontal="center" vertical="center"/>
    </xf>
    <xf numFmtId="188" fontId="3" fillId="19" borderId="10" xfId="1" applyNumberFormat="1" applyFont="1" applyFill="1" applyBorder="1" applyAlignment="1">
      <alignment horizontal="center"/>
    </xf>
    <xf numFmtId="188" fontId="3" fillId="0" borderId="2" xfId="1" applyNumberFormat="1" applyFont="1" applyFill="1" applyBorder="1" applyAlignment="1">
      <alignment horizontal="center" vertical="center"/>
    </xf>
    <xf numFmtId="188" fontId="3" fillId="0" borderId="1" xfId="1" applyNumberFormat="1" applyFont="1" applyFill="1" applyBorder="1" applyAlignment="1">
      <alignment horizontal="center" vertical="center"/>
    </xf>
    <xf numFmtId="188" fontId="3" fillId="6" borderId="10" xfId="1" applyNumberFormat="1" applyFont="1" applyFill="1" applyBorder="1" applyAlignment="1">
      <alignment horizontal="center"/>
    </xf>
    <xf numFmtId="188" fontId="3" fillId="0" borderId="10" xfId="1" applyNumberFormat="1" applyFont="1" applyBorder="1" applyAlignment="1">
      <alignment horizontal="center"/>
    </xf>
    <xf numFmtId="188" fontId="3" fillId="0" borderId="10" xfId="1" applyNumberFormat="1" applyFont="1" applyFill="1" applyBorder="1" applyAlignment="1">
      <alignment horizontal="center"/>
    </xf>
    <xf numFmtId="0" fontId="6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11" fillId="6" borderId="16" xfId="1" applyNumberFormat="1" applyFont="1" applyFill="1" applyBorder="1" applyAlignment="1">
      <alignment horizontal="center" vertical="center"/>
    </xf>
    <xf numFmtId="3" fontId="11" fillId="6" borderId="19" xfId="1" applyNumberFormat="1" applyFont="1" applyFill="1" applyBorder="1" applyAlignment="1">
      <alignment horizontal="center" vertical="center"/>
    </xf>
    <xf numFmtId="3" fontId="9" fillId="0" borderId="191" xfId="0" applyNumberFormat="1" applyFont="1" applyBorder="1" applyAlignment="1">
      <alignment horizontal="center" vertical="center"/>
    </xf>
    <xf numFmtId="3" fontId="9" fillId="0" borderId="156" xfId="0" applyNumberFormat="1" applyFont="1" applyBorder="1" applyAlignment="1">
      <alignment horizontal="center" vertical="center"/>
    </xf>
    <xf numFmtId="3" fontId="9" fillId="0" borderId="51" xfId="0" applyNumberFormat="1" applyFont="1" applyBorder="1" applyAlignment="1">
      <alignment horizontal="center" vertical="center"/>
    </xf>
    <xf numFmtId="3" fontId="9" fillId="0" borderId="50" xfId="0" applyNumberFormat="1" applyFont="1" applyBorder="1" applyAlignment="1">
      <alignment horizontal="center" vertical="center"/>
    </xf>
    <xf numFmtId="3" fontId="9" fillId="0" borderId="192" xfId="0" applyNumberFormat="1" applyFont="1" applyBorder="1" applyAlignment="1">
      <alignment horizontal="center" vertical="center"/>
    </xf>
    <xf numFmtId="3" fontId="9" fillId="0" borderId="54" xfId="0" applyNumberFormat="1" applyFont="1" applyBorder="1" applyAlignment="1">
      <alignment horizontal="center" vertical="center"/>
    </xf>
    <xf numFmtId="3" fontId="9" fillId="0" borderId="190" xfId="0" applyNumberFormat="1" applyFont="1" applyBorder="1" applyAlignment="1">
      <alignment horizontal="center" vertical="center"/>
    </xf>
    <xf numFmtId="3" fontId="9" fillId="0" borderId="55" xfId="0" applyNumberFormat="1" applyFont="1" applyBorder="1" applyAlignment="1">
      <alignment horizontal="center" vertical="center"/>
    </xf>
    <xf numFmtId="3" fontId="11" fillId="0" borderId="17" xfId="1" applyNumberFormat="1" applyFont="1" applyBorder="1" applyAlignment="1">
      <alignment horizontal="center" vertical="center"/>
    </xf>
    <xf numFmtId="3" fontId="11" fillId="0" borderId="64" xfId="1" applyNumberFormat="1" applyFont="1" applyBorder="1" applyAlignment="1">
      <alignment horizontal="center" vertical="center"/>
    </xf>
    <xf numFmtId="3" fontId="11" fillId="6" borderId="85" xfId="1" applyNumberFormat="1" applyFont="1" applyFill="1" applyBorder="1" applyAlignment="1">
      <alignment horizontal="center" vertical="center"/>
    </xf>
    <xf numFmtId="3" fontId="11" fillId="6" borderId="73" xfId="1" applyNumberFormat="1" applyFont="1" applyFill="1" applyBorder="1" applyAlignment="1">
      <alignment horizontal="center" vertical="center"/>
    </xf>
    <xf numFmtId="3" fontId="9" fillId="6" borderId="193" xfId="0" applyNumberFormat="1" applyFont="1" applyFill="1" applyBorder="1" applyAlignment="1">
      <alignment horizontal="center" vertical="center"/>
    </xf>
    <xf numFmtId="3" fontId="9" fillId="6" borderId="56" xfId="0" applyNumberFormat="1" applyFont="1" applyFill="1" applyBorder="1" applyAlignment="1">
      <alignment horizontal="center" vertical="center"/>
    </xf>
    <xf numFmtId="3" fontId="9" fillId="6" borderId="190" xfId="0" applyNumberFormat="1" applyFont="1" applyFill="1" applyBorder="1" applyAlignment="1">
      <alignment horizontal="center" vertical="center"/>
    </xf>
    <xf numFmtId="3" fontId="9" fillId="6" borderId="55" xfId="0" applyNumberFormat="1" applyFont="1" applyFill="1" applyBorder="1" applyAlignment="1">
      <alignment horizontal="center" vertical="center"/>
    </xf>
    <xf numFmtId="3" fontId="11" fillId="4" borderId="79" xfId="1" applyNumberFormat="1" applyFont="1" applyFill="1" applyBorder="1" applyAlignment="1">
      <alignment horizontal="center" vertical="center"/>
    </xf>
    <xf numFmtId="3" fontId="11" fillId="4" borderId="17" xfId="1" applyNumberFormat="1" applyFont="1" applyFill="1" applyBorder="1" applyAlignment="1">
      <alignment horizontal="center" vertical="center"/>
    </xf>
    <xf numFmtId="3" fontId="11" fillId="4" borderId="64" xfId="1" applyNumberFormat="1" applyFont="1" applyFill="1" applyBorder="1" applyAlignment="1">
      <alignment horizontal="center" vertical="center"/>
    </xf>
    <xf numFmtId="3" fontId="11" fillId="5" borderId="20" xfId="1" applyNumberFormat="1" applyFont="1" applyFill="1" applyBorder="1" applyAlignment="1">
      <alignment horizontal="center" vertical="center"/>
    </xf>
    <xf numFmtId="3" fontId="11" fillId="5" borderId="102" xfId="1" applyNumberFormat="1" applyFont="1" applyFill="1" applyBorder="1" applyAlignment="1">
      <alignment horizontal="center" vertical="center"/>
    </xf>
    <xf numFmtId="3" fontId="11" fillId="5" borderId="60" xfId="1" applyNumberFormat="1" applyFont="1" applyFill="1" applyBorder="1" applyAlignment="1">
      <alignment horizontal="center" vertical="center"/>
    </xf>
    <xf numFmtId="3" fontId="11" fillId="5" borderId="73" xfId="1" applyNumberFormat="1" applyFont="1" applyFill="1" applyBorder="1" applyAlignment="1">
      <alignment horizontal="center" vertical="center"/>
    </xf>
    <xf numFmtId="3" fontId="11" fillId="4" borderId="84" xfId="1" applyNumberFormat="1" applyFont="1" applyFill="1" applyBorder="1" applyAlignment="1">
      <alignment horizontal="center" vertical="center"/>
    </xf>
    <xf numFmtId="3" fontId="11" fillId="5" borderId="85" xfId="1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8" xfId="1" applyNumberFormat="1" applyFont="1" applyBorder="1" applyAlignment="1">
      <alignment horizontal="center" vertical="center"/>
    </xf>
    <xf numFmtId="3" fontId="11" fillId="4" borderId="18" xfId="1" applyNumberFormat="1" applyFont="1" applyFill="1" applyBorder="1" applyAlignment="1">
      <alignment horizontal="center" vertical="center"/>
    </xf>
    <xf numFmtId="0" fontId="6" fillId="0" borderId="261" xfId="0" applyFont="1" applyBorder="1" applyAlignment="1">
      <alignment horizontal="center" vertical="center" wrapText="1"/>
    </xf>
    <xf numFmtId="188" fontId="56" fillId="0" borderId="75" xfId="1" applyNumberFormat="1" applyFont="1" applyFill="1" applyBorder="1" applyAlignment="1">
      <alignment vertical="center"/>
    </xf>
    <xf numFmtId="188" fontId="3" fillId="0" borderId="75" xfId="1" applyNumberFormat="1" applyFont="1" applyFill="1" applyBorder="1" applyAlignment="1">
      <alignment vertical="center"/>
    </xf>
    <xf numFmtId="188" fontId="3" fillId="0" borderId="140" xfId="1" applyNumberFormat="1" applyFont="1" applyFill="1" applyBorder="1" applyAlignment="1">
      <alignment vertical="center"/>
    </xf>
    <xf numFmtId="188" fontId="3" fillId="0" borderId="185" xfId="0" applyNumberFormat="1" applyFont="1" applyBorder="1" applyAlignment="1">
      <alignment vertical="center"/>
    </xf>
    <xf numFmtId="188" fontId="4" fillId="0" borderId="114" xfId="1" applyNumberFormat="1" applyFont="1" applyFill="1" applyBorder="1" applyAlignment="1">
      <alignment vertical="center"/>
    </xf>
    <xf numFmtId="188" fontId="4" fillId="0" borderId="77" xfId="1" applyNumberFormat="1" applyFont="1" applyFill="1" applyBorder="1" applyAlignment="1">
      <alignment horizontal="center" vertical="center"/>
    </xf>
    <xf numFmtId="188" fontId="4" fillId="0" borderId="116" xfId="1" applyNumberFormat="1" applyFont="1" applyBorder="1" applyAlignment="1">
      <alignment horizontal="center" vertical="center"/>
    </xf>
    <xf numFmtId="188" fontId="4" fillId="0" borderId="116" xfId="1" applyNumberFormat="1" applyFont="1" applyBorder="1" applyAlignment="1">
      <alignment vertical="center"/>
    </xf>
    <xf numFmtId="43" fontId="4" fillId="0" borderId="75" xfId="1" applyFont="1" applyBorder="1" applyAlignment="1">
      <alignment vertical="center"/>
    </xf>
    <xf numFmtId="43" fontId="4" fillId="0" borderId="140" xfId="1" applyFont="1" applyBorder="1" applyAlignment="1">
      <alignment vertical="center"/>
    </xf>
    <xf numFmtId="188" fontId="3" fillId="0" borderId="185" xfId="1" applyNumberFormat="1" applyFont="1" applyFill="1" applyBorder="1" applyAlignment="1">
      <alignment vertical="center"/>
    </xf>
    <xf numFmtId="188" fontId="3" fillId="0" borderId="4" xfId="1" applyNumberFormat="1" applyFont="1" applyBorder="1" applyAlignment="1">
      <alignment horizontal="center" vertical="center"/>
    </xf>
  </cellXfs>
  <cellStyles count="13">
    <cellStyle name="Comma 2" xfId="2" xr:uid="{00000000-0005-0000-0000-000001000000}"/>
    <cellStyle name="Comma 3" xfId="3" xr:uid="{00000000-0005-0000-0000-000002000000}"/>
    <cellStyle name="เครื่องหมายจุลภาค 2" xfId="4" xr:uid="{00000000-0005-0000-0000-000004000000}"/>
    <cellStyle name="เครื่องหมายจุลภาค 3" xfId="5" xr:uid="{00000000-0005-0000-0000-000005000000}"/>
    <cellStyle name="เครื่องหมายจุลภาค 3 2" xfId="6" xr:uid="{00000000-0005-0000-0000-000006000000}"/>
    <cellStyle name="จุลภาค" xfId="1" builtinId="3"/>
    <cellStyle name="จุลภาค 2" xfId="7" xr:uid="{00000000-0005-0000-0000-000007000000}"/>
    <cellStyle name="จุลภาค 3" xfId="8" xr:uid="{00000000-0005-0000-0000-000008000000}"/>
    <cellStyle name="ปกติ" xfId="0" builtinId="0"/>
    <cellStyle name="ปกติ 2" xfId="9" xr:uid="{00000000-0005-0000-0000-000009000000}"/>
    <cellStyle name="ปกติ 2 2" xfId="10" xr:uid="{00000000-0005-0000-0000-00000A000000}"/>
    <cellStyle name="ปกติ 3" xfId="11" xr:uid="{00000000-0005-0000-0000-00000B000000}"/>
    <cellStyle name="ปกติ 3 2" xfId="12" xr:uid="{00000000-0005-0000-0000-00000C000000}"/>
  </cellStyles>
  <dxfs count="0"/>
  <tableStyles count="0" defaultTableStyle="TableStyleMedium9" defaultPivotStyle="PivotStyleLight16"/>
  <colors>
    <mruColors>
      <color rgb="FFFF66CC"/>
      <color rgb="FFF088E9"/>
      <color rgb="FFFFCCFF"/>
      <color rgb="FFFFFF99"/>
      <color rgb="FFFF9999"/>
      <color rgb="FFDAEEF3"/>
      <color rgb="FFFDE9D9"/>
      <color rgb="FF99FF66"/>
      <color rgb="FFFF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8.xml"/><Relationship Id="rId68" Type="http://schemas.openxmlformats.org/officeDocument/2006/relationships/externalLink" Target="externalLinks/externalLink13.xml"/><Relationship Id="rId84" Type="http://schemas.openxmlformats.org/officeDocument/2006/relationships/externalLink" Target="externalLinks/externalLink29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3.xml"/><Relationship Id="rId74" Type="http://schemas.openxmlformats.org/officeDocument/2006/relationships/externalLink" Target="externalLinks/externalLink19.xml"/><Relationship Id="rId79" Type="http://schemas.openxmlformats.org/officeDocument/2006/relationships/externalLink" Target="externalLinks/externalLink24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64" Type="http://schemas.openxmlformats.org/officeDocument/2006/relationships/externalLink" Target="externalLinks/externalLink9.xml"/><Relationship Id="rId69" Type="http://schemas.openxmlformats.org/officeDocument/2006/relationships/externalLink" Target="externalLinks/externalLink14.xml"/><Relationship Id="rId77" Type="http://schemas.openxmlformats.org/officeDocument/2006/relationships/externalLink" Target="externalLinks/externalLink2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7.xml"/><Relationship Id="rId80" Type="http://schemas.openxmlformats.org/officeDocument/2006/relationships/externalLink" Target="externalLinks/externalLink25.xml"/><Relationship Id="rId85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4.xml"/><Relationship Id="rId67" Type="http://schemas.openxmlformats.org/officeDocument/2006/relationships/externalLink" Target="externalLinks/externalLink1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7.xml"/><Relationship Id="rId70" Type="http://schemas.openxmlformats.org/officeDocument/2006/relationships/externalLink" Target="externalLinks/externalLink15.xml"/><Relationship Id="rId75" Type="http://schemas.openxmlformats.org/officeDocument/2006/relationships/externalLink" Target="externalLinks/externalLink20.xml"/><Relationship Id="rId83" Type="http://schemas.openxmlformats.org/officeDocument/2006/relationships/externalLink" Target="externalLinks/externalLink28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5.xml"/><Relationship Id="rId65" Type="http://schemas.openxmlformats.org/officeDocument/2006/relationships/externalLink" Target="externalLinks/externalLink10.xml"/><Relationship Id="rId73" Type="http://schemas.openxmlformats.org/officeDocument/2006/relationships/externalLink" Target="externalLinks/externalLink18.xml"/><Relationship Id="rId78" Type="http://schemas.openxmlformats.org/officeDocument/2006/relationships/externalLink" Target="externalLinks/externalLink23.xml"/><Relationship Id="rId81" Type="http://schemas.openxmlformats.org/officeDocument/2006/relationships/externalLink" Target="externalLinks/externalLink26.xml"/><Relationship Id="rId86" Type="http://schemas.openxmlformats.org/officeDocument/2006/relationships/externalLink" Target="externalLinks/externalLink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11.xml"/><Relationship Id="rId87" Type="http://schemas.openxmlformats.org/officeDocument/2006/relationships/externalLink" Target="externalLinks/externalLink32.xml"/><Relationship Id="rId61" Type="http://schemas.openxmlformats.org/officeDocument/2006/relationships/externalLink" Target="externalLinks/externalLink6.xml"/><Relationship Id="rId82" Type="http://schemas.openxmlformats.org/officeDocument/2006/relationships/externalLink" Target="externalLinks/externalLink27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H SarabunPSK" panose="020B0500040200020003" pitchFamily="34" charset="-34"/>
                <a:ea typeface="+mj-ea"/>
                <a:cs typeface="TH SarabunPSK" panose="020B0500040200020003" pitchFamily="34" charset="-34"/>
              </a:defRPr>
            </a:pPr>
            <a:r>
              <a:rPr lang="th-TH">
                <a:solidFill>
                  <a:schemeClr val="tx2">
                    <a:lumMod val="75000"/>
                  </a:schemeClr>
                </a:solidFill>
                <a:latin typeface="Cordia New" panose="020B0304020202020204" pitchFamily="34" charset="-34"/>
                <a:cs typeface="Cordia New" panose="020B0304020202020204" pitchFamily="34" charset="-34"/>
              </a:rPr>
              <a:t>ร้อยละ </a:t>
            </a:r>
            <a:r>
              <a:rPr lang="en-US">
                <a:solidFill>
                  <a:schemeClr val="tx2">
                    <a:lumMod val="75000"/>
                  </a:schemeClr>
                </a:solidFill>
                <a:latin typeface="Cordia New" panose="020B0304020202020204" pitchFamily="34" charset="-34"/>
                <a:cs typeface="Cordia New" panose="020B0304020202020204" pitchFamily="34" charset="-34"/>
              </a:rPr>
              <a:t>(%)</a:t>
            </a:r>
            <a:r>
              <a:rPr lang="th-TH">
                <a:solidFill>
                  <a:schemeClr val="tx2">
                    <a:lumMod val="75000"/>
                  </a:schemeClr>
                </a:solidFill>
                <a:latin typeface="Cordia New" panose="020B0304020202020204" pitchFamily="34" charset="-34"/>
                <a:cs typeface="Cordia New" panose="020B0304020202020204" pitchFamily="34" charset="-34"/>
              </a:rPr>
              <a:t> ผลการเบิกจ่ายงบดำเนินงาน ส่วน/ฝ่าย </a:t>
            </a:r>
          </a:p>
        </c:rich>
      </c:tx>
      <c:layout>
        <c:manualLayout>
          <c:xMode val="edge"/>
          <c:yMode val="edge"/>
          <c:x val="0.25731500711989636"/>
          <c:y val="4.3859633975813654E-2"/>
        </c:manualLayout>
      </c:layout>
      <c:overlay val="0"/>
      <c:spPr>
        <a:solidFill>
          <a:schemeClr val="bg2">
            <a:lumMod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H SarabunPSK" panose="020B0500040200020003" pitchFamily="34" charset="-34"/>
              <a:ea typeface="+mj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7.3696714046414202E-2"/>
          <c:y val="0.17105257250567324"/>
          <c:w val="0.91093344693298339"/>
          <c:h val="0.675687706973440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'!$L$3:$L$13</c:f>
              <c:strCache>
                <c:ptCount val="11"/>
                <c:pt idx="0">
                  <c:v>               - ผู้บริหาร ศสส.</c:v>
                </c:pt>
                <c:pt idx="1">
                  <c:v>               - ฝบท.</c:v>
                </c:pt>
                <c:pt idx="2">
                  <c:v>               - สพร.</c:v>
                </c:pt>
                <c:pt idx="3">
                  <c:v>               - สพส.</c:v>
                </c:pt>
                <c:pt idx="4">
                  <c:v>               - สสป.</c:v>
                </c:pt>
                <c:pt idx="5">
                  <c:v>               - สภท.</c:v>
                </c:pt>
                <c:pt idx="6">
                  <c:v>               - สทส.</c:v>
                </c:pt>
                <c:pt idx="7">
                  <c:v>               - สกก.</c:v>
                </c:pt>
                <c:pt idx="8">
                  <c:v>               - สปร.</c:v>
                </c:pt>
                <c:pt idx="9">
                  <c:v>               - สพก.</c:v>
                </c:pt>
                <c:pt idx="10">
                  <c:v>               - สปข.</c:v>
                </c:pt>
              </c:strCache>
            </c:strRef>
          </c:cat>
          <c:val>
            <c:numRef>
              <c:f>'กราฟ '!$M$3:$M$13</c:f>
              <c:numCache>
                <c:formatCode>0.00</c:formatCode>
                <c:ptCount val="11"/>
                <c:pt idx="0">
                  <c:v>43.454999999999998</c:v>
                </c:pt>
                <c:pt idx="1">
                  <c:v>5.9540463781545281</c:v>
                </c:pt>
                <c:pt idx="2">
                  <c:v>23.354714285714287</c:v>
                </c:pt>
                <c:pt idx="3">
                  <c:v>7.5158134660728324</c:v>
                </c:pt>
                <c:pt idx="4">
                  <c:v>12.718232044198896</c:v>
                </c:pt>
                <c:pt idx="5">
                  <c:v>24.097639055622249</c:v>
                </c:pt>
                <c:pt idx="6">
                  <c:v>25.734517542097013</c:v>
                </c:pt>
                <c:pt idx="7">
                  <c:v>6.215962441314554</c:v>
                </c:pt>
                <c:pt idx="8">
                  <c:v>4.7007233273056057</c:v>
                </c:pt>
                <c:pt idx="9">
                  <c:v>13.35625468164794</c:v>
                </c:pt>
                <c:pt idx="10">
                  <c:v>1.3455208333333333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0-4F21-9149-D047422311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631626175"/>
        <c:axId val="636156671"/>
      </c:barChart>
      <c:catAx>
        <c:axId val="631626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36156671"/>
        <c:crosses val="autoZero"/>
        <c:auto val="1"/>
        <c:lblAlgn val="ctr"/>
        <c:lblOffset val="100"/>
        <c:noMultiLvlLbl val="0"/>
      </c:catAx>
      <c:valAx>
        <c:axId val="636156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31626175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rgbClr val="00B0F0">
          <a:alpha val="99000"/>
        </a:srgb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/>
                </a:solidFill>
                <a:latin typeface="+mj-lt"/>
                <a:ea typeface="+mj-ea"/>
                <a:cs typeface="+mj-cs"/>
              </a:defRPr>
            </a:pPr>
            <a:r>
              <a:rPr lang="th-TH" b="1">
                <a:solidFill>
                  <a:schemeClr val="tx1"/>
                </a:solidFill>
                <a:latin typeface="Cordia New" panose="020B0304020202020204" pitchFamily="34" charset="-34"/>
                <a:cs typeface="Cordia New" panose="020B0304020202020204" pitchFamily="34" charset="-34"/>
              </a:rPr>
              <a:t>ร้อยละ</a:t>
            </a:r>
            <a:r>
              <a:rPr lang="th-TH" b="1" baseline="0">
                <a:solidFill>
                  <a:schemeClr val="tx1"/>
                </a:solidFill>
                <a:latin typeface="Cordia New" panose="020B0304020202020204" pitchFamily="34" charset="-34"/>
                <a:cs typeface="Cordia New" panose="020B0304020202020204" pitchFamily="34" charset="-34"/>
              </a:rPr>
              <a:t> (</a:t>
            </a:r>
            <a:r>
              <a:rPr lang="en-US" b="1" baseline="0">
                <a:solidFill>
                  <a:schemeClr val="tx1"/>
                </a:solidFill>
                <a:latin typeface="Cordia New" panose="020B0304020202020204" pitchFamily="34" charset="-34"/>
                <a:cs typeface="Cordia New" panose="020B0304020202020204" pitchFamily="34" charset="-34"/>
              </a:rPr>
              <a:t>%) </a:t>
            </a:r>
            <a:r>
              <a:rPr lang="th-TH" b="1" baseline="0">
                <a:solidFill>
                  <a:schemeClr val="tx1"/>
                </a:solidFill>
                <a:latin typeface="Cordia New" panose="020B0304020202020204" pitchFamily="34" charset="-34"/>
                <a:cs typeface="Cordia New" panose="020B0304020202020204" pitchFamily="34" charset="-34"/>
              </a:rPr>
              <a:t> ผลการเบิกจ่ายรายค่าใช้จ่าย</a:t>
            </a:r>
            <a:endParaRPr lang="th-TH" b="1">
              <a:solidFill>
                <a:schemeClr val="tx1"/>
              </a:solidFill>
              <a:latin typeface="Cordia New" panose="020B0304020202020204" pitchFamily="34" charset="-34"/>
              <a:cs typeface="Cordia New" panose="020B0304020202020204" pitchFamily="34" charset="-34"/>
            </a:endParaRPr>
          </a:p>
        </c:rich>
      </c:tx>
      <c:overlay val="0"/>
      <c:spPr>
        <a:solidFill>
          <a:schemeClr val="bg2">
            <a:lumMod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/>
              </a:solidFill>
              <a:latin typeface="+mj-lt"/>
              <a:ea typeface="+mj-ea"/>
              <a:cs typeface="+mj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 '!$L$17:$L$31</c:f>
              <c:strCache>
                <c:ptCount val="15"/>
                <c:pt idx="0">
                  <c:v>คชจ.ต้นทุน</c:v>
                </c:pt>
                <c:pt idx="1">
                  <c:v>คชจ.Crop cutting</c:v>
                </c:pt>
                <c:pt idx="2">
                  <c:v>คชจ.จัดทำข้อมูลพืชเศรษฐกิจสำคัญฯ</c:v>
                </c:pt>
                <c:pt idx="3">
                  <c:v>คชจ.เพิ่มประสิทธิภาพติดตามภาวะฯ</c:v>
                </c:pt>
                <c:pt idx="4">
                  <c:v>คชจ.ติดตามสถานการณ์โดย ศกอ. 882 อ.</c:v>
                </c:pt>
                <c:pt idx="5">
                  <c:v>คชจ.จัดทำข้อมูลกรอบตัวอย่างสำหรับสำรวจ โดย อกม.</c:v>
                </c:pt>
                <c:pt idx="6">
                  <c:v>คชจ.จัดทำฐานข้อมูลฯ เกษตรปลอดภัย</c:v>
                </c:pt>
                <c:pt idx="7">
                  <c:v>คชจ.การจัดทำฐานข้อมูลฯ เกษตรอัตลักษณ์พื้นถิ่น</c:v>
                </c:pt>
                <c:pt idx="8">
                  <c:v>คชจ.การจัดทำข้อมูลไม้ผลเศรษฐกิจ</c:v>
                </c:pt>
                <c:pt idx="9">
                  <c:v>คชจ.การยกระดับการสำรวจฯ แบบ Digital Survey</c:v>
                </c:pt>
                <c:pt idx="10">
                  <c:v>คชจ.การศึกษาผลกระทบจากการเปลี่ยนแปลงสภาพอากาศฯ</c:v>
                </c:pt>
                <c:pt idx="11">
                  <c:v>คชจ.ประยุกต์ใช้เทคโนโลยีฯ</c:v>
                </c:pt>
                <c:pt idx="12">
                  <c:v>คชจ.บูรณาการข้อมูลเชิงพื้นที่ฯ</c:v>
                </c:pt>
                <c:pt idx="13">
                  <c:v>Single Maps</c:v>
                </c:pt>
                <c:pt idx="14">
                  <c:v>socio</c:v>
                </c:pt>
              </c:strCache>
            </c:strRef>
          </c:cat>
          <c:val>
            <c:numRef>
              <c:f>'กราฟ '!$M$17:$M$31</c:f>
              <c:numCache>
                <c:formatCode>_(* #,##0.00_);_(* \(#,##0.00\);_(* "-"??_);_(@_)</c:formatCode>
                <c:ptCount val="15"/>
                <c:pt idx="0">
                  <c:v>15.505993187140726</c:v>
                </c:pt>
                <c:pt idx="1">
                  <c:v>65.403486662465866</c:v>
                </c:pt>
                <c:pt idx="2">
                  <c:v>61.253731343283583</c:v>
                </c:pt>
                <c:pt idx="3" formatCode="0.00">
                  <c:v>9.8681517703522594</c:v>
                </c:pt>
                <c:pt idx="4" formatCode="0.00">
                  <c:v>0</c:v>
                </c:pt>
                <c:pt idx="5">
                  <c:v>2.8819522419342766E-2</c:v>
                </c:pt>
                <c:pt idx="6">
                  <c:v>3.4399117971334068</c:v>
                </c:pt>
                <c:pt idx="7">
                  <c:v>2.7697516659475525</c:v>
                </c:pt>
                <c:pt idx="8">
                  <c:v>0.4616692344472188</c:v>
                </c:pt>
                <c:pt idx="9">
                  <c:v>0</c:v>
                </c:pt>
                <c:pt idx="10">
                  <c:v>0</c:v>
                </c:pt>
                <c:pt idx="11" formatCode="0.00">
                  <c:v>0.50693978638873127</c:v>
                </c:pt>
                <c:pt idx="12" formatCode="0.00">
                  <c:v>2.7737864077669903</c:v>
                </c:pt>
                <c:pt idx="13" formatCode="0.00">
                  <c:v>0.83602719875153275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C3-4AB7-91B7-3F44EF49B5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424958847"/>
        <c:axId val="896316063"/>
      </c:barChart>
      <c:catAx>
        <c:axId val="4249588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896316063"/>
        <c:crosses val="autoZero"/>
        <c:auto val="1"/>
        <c:lblAlgn val="ctr"/>
        <c:lblOffset val="100"/>
        <c:noMultiLvlLbl val="0"/>
      </c:catAx>
      <c:valAx>
        <c:axId val="896316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24958847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rgbClr val="00B0F0">
          <a:alpha val="99000"/>
        </a:srgb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7</xdr:row>
      <xdr:rowOff>152400</xdr:rowOff>
    </xdr:from>
    <xdr:to>
      <xdr:col>8</xdr:col>
      <xdr:colOff>161925</xdr:colOff>
      <xdr:row>14</xdr:row>
      <xdr:rowOff>123825</xdr:rowOff>
    </xdr:to>
    <xdr:sp macro="" textlink="">
      <xdr:nvSpPr>
        <xdr:cNvPr id="298239" name="Right Brace 1">
          <a:extLst>
            <a:ext uri="{FF2B5EF4-FFF2-40B4-BE49-F238E27FC236}">
              <a16:creationId xmlns:a16="http://schemas.microsoft.com/office/drawing/2014/main" id="{31DC3892-00AE-37A3-F8C2-3F371BC979F1}"/>
            </a:ext>
          </a:extLst>
        </xdr:cNvPr>
        <xdr:cNvSpPr>
          <a:spLocks/>
        </xdr:cNvSpPr>
      </xdr:nvSpPr>
      <xdr:spPr bwMode="auto">
        <a:xfrm>
          <a:off x="9086850" y="1876425"/>
          <a:ext cx="104775" cy="1704975"/>
        </a:xfrm>
        <a:prstGeom prst="rightBrace">
          <a:avLst>
            <a:gd name="adj1" fmla="val 7006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5</xdr:row>
      <xdr:rowOff>85725</xdr:rowOff>
    </xdr:from>
    <xdr:to>
      <xdr:col>3</xdr:col>
      <xdr:colOff>457199</xdr:colOff>
      <xdr:row>6</xdr:row>
      <xdr:rowOff>4813</xdr:rowOff>
    </xdr:to>
    <xdr:sp macro="" textlink="">
      <xdr:nvSpPr>
        <xdr:cNvPr id="2" name="วงรี 1">
          <a:extLst>
            <a:ext uri="{FF2B5EF4-FFF2-40B4-BE49-F238E27FC236}">
              <a16:creationId xmlns:a16="http://schemas.microsoft.com/office/drawing/2014/main" id="{0FDD76AA-29B0-0544-ED27-ACFC7C8DDDCC}"/>
            </a:ext>
          </a:extLst>
        </xdr:cNvPr>
        <xdr:cNvSpPr/>
      </xdr:nvSpPr>
      <xdr:spPr bwMode="auto">
        <a:xfrm>
          <a:off x="2933700" y="1409700"/>
          <a:ext cx="152399" cy="156685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bg1"/>
              </a:solidFill>
            </a:rPr>
            <a:t>2</a:t>
          </a:r>
        </a:p>
      </xdr:txBody>
    </xdr:sp>
    <xdr:clientData/>
  </xdr:twoCellAnchor>
  <xdr:twoCellAnchor>
    <xdr:from>
      <xdr:col>4</xdr:col>
      <xdr:colOff>238125</xdr:colOff>
      <xdr:row>5</xdr:row>
      <xdr:rowOff>85725</xdr:rowOff>
    </xdr:from>
    <xdr:to>
      <xdr:col>4</xdr:col>
      <xdr:colOff>390524</xdr:colOff>
      <xdr:row>6</xdr:row>
      <xdr:rowOff>4813</xdr:rowOff>
    </xdr:to>
    <xdr:sp macro="" textlink="">
      <xdr:nvSpPr>
        <xdr:cNvPr id="3" name="วงรี 2">
          <a:extLst>
            <a:ext uri="{FF2B5EF4-FFF2-40B4-BE49-F238E27FC236}">
              <a16:creationId xmlns:a16="http://schemas.microsoft.com/office/drawing/2014/main" id="{A2476D2E-CFB9-0666-BD9B-627DCD376ED6}"/>
            </a:ext>
          </a:extLst>
        </xdr:cNvPr>
        <xdr:cNvSpPr/>
      </xdr:nvSpPr>
      <xdr:spPr bwMode="auto">
        <a:xfrm>
          <a:off x="3629025" y="1409700"/>
          <a:ext cx="152399" cy="156685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bg1"/>
              </a:solidFill>
            </a:rPr>
            <a:t>3</a:t>
          </a:r>
        </a:p>
      </xdr:txBody>
    </xdr:sp>
    <xdr:clientData/>
  </xdr:twoCellAnchor>
  <xdr:twoCellAnchor>
    <xdr:from>
      <xdr:col>1</xdr:col>
      <xdr:colOff>352425</xdr:colOff>
      <xdr:row>5</xdr:row>
      <xdr:rowOff>57150</xdr:rowOff>
    </xdr:from>
    <xdr:to>
      <xdr:col>1</xdr:col>
      <xdr:colOff>504824</xdr:colOff>
      <xdr:row>5</xdr:row>
      <xdr:rowOff>214083</xdr:rowOff>
    </xdr:to>
    <xdr:sp macro="" textlink="">
      <xdr:nvSpPr>
        <xdr:cNvPr id="4" name="วงรี 3">
          <a:extLst>
            <a:ext uri="{FF2B5EF4-FFF2-40B4-BE49-F238E27FC236}">
              <a16:creationId xmlns:a16="http://schemas.microsoft.com/office/drawing/2014/main" id="{DCD1062F-035E-FF4F-4F6B-EC3DD1D58E88}"/>
            </a:ext>
          </a:extLst>
        </xdr:cNvPr>
        <xdr:cNvSpPr/>
      </xdr:nvSpPr>
      <xdr:spPr bwMode="auto">
        <a:xfrm>
          <a:off x="2124075" y="1381125"/>
          <a:ext cx="152399" cy="156604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bg1"/>
              </a:solidFill>
            </a:rPr>
            <a:t>1</a:t>
          </a:r>
        </a:p>
      </xdr:txBody>
    </xdr:sp>
    <xdr:clientData/>
  </xdr:twoCellAnchor>
  <xdr:twoCellAnchor>
    <xdr:from>
      <xdr:col>5</xdr:col>
      <xdr:colOff>142876</xdr:colOff>
      <xdr:row>3</xdr:row>
      <xdr:rowOff>209549</xdr:rowOff>
    </xdr:from>
    <xdr:to>
      <xdr:col>5</xdr:col>
      <xdr:colOff>657226</xdr:colOff>
      <xdr:row>4</xdr:row>
      <xdr:rowOff>152400</xdr:rowOff>
    </xdr:to>
    <xdr:sp macro="" textlink="">
      <xdr:nvSpPr>
        <xdr:cNvPr id="5" name="วงรี 4">
          <a:extLst>
            <a:ext uri="{FF2B5EF4-FFF2-40B4-BE49-F238E27FC236}">
              <a16:creationId xmlns:a16="http://schemas.microsoft.com/office/drawing/2014/main" id="{AB849E4A-BDEB-DEED-9B40-4248D1313DD4}"/>
            </a:ext>
          </a:extLst>
        </xdr:cNvPr>
        <xdr:cNvSpPr/>
      </xdr:nvSpPr>
      <xdr:spPr bwMode="auto">
        <a:xfrm>
          <a:off x="4324351" y="981074"/>
          <a:ext cx="514350" cy="180976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bg1"/>
              </a:solidFill>
            </a:rPr>
            <a:t>4  </a:t>
          </a:r>
          <a:r>
            <a:rPr lang="en-US" sz="900">
              <a:solidFill>
                <a:schemeClr val="bg1"/>
              </a:solidFill>
            </a:rPr>
            <a:t>=  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161925</xdr:colOff>
      <xdr:row>5</xdr:row>
      <xdr:rowOff>76200</xdr:rowOff>
    </xdr:from>
    <xdr:to>
      <xdr:col>5</xdr:col>
      <xdr:colOff>314324</xdr:colOff>
      <xdr:row>5</xdr:row>
      <xdr:rowOff>214113</xdr:rowOff>
    </xdr:to>
    <xdr:sp macro="" textlink="">
      <xdr:nvSpPr>
        <xdr:cNvPr id="6" name="วงรี 5">
          <a:extLst>
            <a:ext uri="{FF2B5EF4-FFF2-40B4-BE49-F238E27FC236}">
              <a16:creationId xmlns:a16="http://schemas.microsoft.com/office/drawing/2014/main" id="{D6D760F2-7B0D-A7CF-5573-F3F3091DB34C}"/>
            </a:ext>
          </a:extLst>
        </xdr:cNvPr>
        <xdr:cNvSpPr/>
      </xdr:nvSpPr>
      <xdr:spPr bwMode="auto">
        <a:xfrm>
          <a:off x="4343400" y="1400175"/>
          <a:ext cx="152399" cy="157271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bg1"/>
              </a:solidFill>
            </a:rPr>
            <a:t>2</a:t>
          </a:r>
        </a:p>
      </xdr:txBody>
    </xdr:sp>
    <xdr:clientData/>
  </xdr:twoCellAnchor>
  <xdr:twoCellAnchor>
    <xdr:from>
      <xdr:col>5</xdr:col>
      <xdr:colOff>447675</xdr:colOff>
      <xdr:row>5</xdr:row>
      <xdr:rowOff>66675</xdr:rowOff>
    </xdr:from>
    <xdr:to>
      <xdr:col>5</xdr:col>
      <xdr:colOff>600074</xdr:colOff>
      <xdr:row>6</xdr:row>
      <xdr:rowOff>4742</xdr:rowOff>
    </xdr:to>
    <xdr:sp macro="" textlink="">
      <xdr:nvSpPr>
        <xdr:cNvPr id="7" name="วงรี 6">
          <a:extLst>
            <a:ext uri="{FF2B5EF4-FFF2-40B4-BE49-F238E27FC236}">
              <a16:creationId xmlns:a16="http://schemas.microsoft.com/office/drawing/2014/main" id="{A9022C70-9AC7-ABE1-F8B2-FABBEA01DE1E}"/>
            </a:ext>
          </a:extLst>
        </xdr:cNvPr>
        <xdr:cNvSpPr/>
      </xdr:nvSpPr>
      <xdr:spPr bwMode="auto">
        <a:xfrm>
          <a:off x="4629150" y="1390650"/>
          <a:ext cx="152399" cy="156709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3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314325</xdr:colOff>
      <xdr:row>5</xdr:row>
      <xdr:rowOff>123825</xdr:rowOff>
    </xdr:from>
    <xdr:to>
      <xdr:col>5</xdr:col>
      <xdr:colOff>447675</xdr:colOff>
      <xdr:row>5</xdr:row>
      <xdr:rowOff>200025</xdr:rowOff>
    </xdr:to>
    <xdr:sp macro="" textlink="">
      <xdr:nvSpPr>
        <xdr:cNvPr id="8" name="บวก 11">
          <a:extLst>
            <a:ext uri="{FF2B5EF4-FFF2-40B4-BE49-F238E27FC236}">
              <a16:creationId xmlns:a16="http://schemas.microsoft.com/office/drawing/2014/main" id="{15F8AA92-9C43-4B40-4E41-2AA970B69E9E}"/>
            </a:ext>
          </a:extLst>
        </xdr:cNvPr>
        <xdr:cNvSpPr/>
      </xdr:nvSpPr>
      <xdr:spPr bwMode="auto">
        <a:xfrm>
          <a:off x="4495800" y="1447800"/>
          <a:ext cx="133350" cy="76200"/>
        </a:xfrm>
        <a:prstGeom prst="mathPlus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th-TH"/>
        </a:p>
      </xdr:txBody>
    </xdr:sp>
    <xdr:clientData/>
  </xdr:twoCellAnchor>
  <xdr:twoCellAnchor>
    <xdr:from>
      <xdr:col>6</xdr:col>
      <xdr:colOff>161926</xdr:colOff>
      <xdr:row>3</xdr:row>
      <xdr:rowOff>200024</xdr:rowOff>
    </xdr:from>
    <xdr:to>
      <xdr:col>6</xdr:col>
      <xdr:colOff>676276</xdr:colOff>
      <xdr:row>4</xdr:row>
      <xdr:rowOff>142875</xdr:rowOff>
    </xdr:to>
    <xdr:sp macro="" textlink="">
      <xdr:nvSpPr>
        <xdr:cNvPr id="9" name="วงรี 8">
          <a:extLst>
            <a:ext uri="{FF2B5EF4-FFF2-40B4-BE49-F238E27FC236}">
              <a16:creationId xmlns:a16="http://schemas.microsoft.com/office/drawing/2014/main" id="{30E7CE34-DDE1-87CE-9D9F-0F6F3687612F}"/>
            </a:ext>
          </a:extLst>
        </xdr:cNvPr>
        <xdr:cNvSpPr/>
      </xdr:nvSpPr>
      <xdr:spPr bwMode="auto">
        <a:xfrm>
          <a:off x="5095876" y="971549"/>
          <a:ext cx="514350" cy="180976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5</a:t>
          </a:r>
          <a:r>
            <a:rPr lang="th-TH" sz="900">
              <a:solidFill>
                <a:schemeClr val="bg1"/>
              </a:solidFill>
            </a:rPr>
            <a:t>  </a:t>
          </a:r>
          <a:r>
            <a:rPr lang="en-US" sz="900">
              <a:solidFill>
                <a:schemeClr val="bg1"/>
              </a:solidFill>
            </a:rPr>
            <a:t>=  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152400</xdr:colOff>
      <xdr:row>5</xdr:row>
      <xdr:rowOff>38100</xdr:rowOff>
    </xdr:from>
    <xdr:to>
      <xdr:col>6</xdr:col>
      <xdr:colOff>304799</xdr:colOff>
      <xdr:row>5</xdr:row>
      <xdr:rowOff>193887</xdr:rowOff>
    </xdr:to>
    <xdr:sp macro="" textlink="">
      <xdr:nvSpPr>
        <xdr:cNvPr id="10" name="วงรี 9">
          <a:extLst>
            <a:ext uri="{FF2B5EF4-FFF2-40B4-BE49-F238E27FC236}">
              <a16:creationId xmlns:a16="http://schemas.microsoft.com/office/drawing/2014/main" id="{351D8FCE-5E45-ED1C-8577-47B29288A5E1}"/>
            </a:ext>
          </a:extLst>
        </xdr:cNvPr>
        <xdr:cNvSpPr/>
      </xdr:nvSpPr>
      <xdr:spPr bwMode="auto">
        <a:xfrm>
          <a:off x="5086350" y="1362075"/>
          <a:ext cx="152399" cy="155787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1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352424</xdr:colOff>
      <xdr:row>5</xdr:row>
      <xdr:rowOff>95250</xdr:rowOff>
    </xdr:from>
    <xdr:to>
      <xdr:col>6</xdr:col>
      <xdr:colOff>495299</xdr:colOff>
      <xdr:row>5</xdr:row>
      <xdr:rowOff>131825</xdr:rowOff>
    </xdr:to>
    <xdr:sp macro="" textlink="">
      <xdr:nvSpPr>
        <xdr:cNvPr id="11" name="ลบ 16">
          <a:extLst>
            <a:ext uri="{FF2B5EF4-FFF2-40B4-BE49-F238E27FC236}">
              <a16:creationId xmlns:a16="http://schemas.microsoft.com/office/drawing/2014/main" id="{0EA261F8-A6DE-B30C-981B-AD0B2C9E71DD}"/>
            </a:ext>
          </a:extLst>
        </xdr:cNvPr>
        <xdr:cNvSpPr/>
      </xdr:nvSpPr>
      <xdr:spPr bwMode="auto">
        <a:xfrm>
          <a:off x="5286374" y="1419225"/>
          <a:ext cx="142875" cy="36575"/>
        </a:xfrm>
        <a:prstGeom prst="mathMinus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th-TH"/>
        </a:p>
      </xdr:txBody>
    </xdr:sp>
    <xdr:clientData/>
  </xdr:twoCellAnchor>
  <xdr:twoCellAnchor>
    <xdr:from>
      <xdr:col>6</xdr:col>
      <xdr:colOff>561975</xdr:colOff>
      <xdr:row>5</xdr:row>
      <xdr:rowOff>38100</xdr:rowOff>
    </xdr:from>
    <xdr:to>
      <xdr:col>6</xdr:col>
      <xdr:colOff>714370</xdr:colOff>
      <xdr:row>5</xdr:row>
      <xdr:rowOff>193887</xdr:rowOff>
    </xdr:to>
    <xdr:sp macro="" textlink="">
      <xdr:nvSpPr>
        <xdr:cNvPr id="12" name="วงรี 11">
          <a:extLst>
            <a:ext uri="{FF2B5EF4-FFF2-40B4-BE49-F238E27FC236}">
              <a16:creationId xmlns:a16="http://schemas.microsoft.com/office/drawing/2014/main" id="{F67B8B5E-FF05-56C4-7737-859F37B7AC52}"/>
            </a:ext>
          </a:extLst>
        </xdr:cNvPr>
        <xdr:cNvSpPr/>
      </xdr:nvSpPr>
      <xdr:spPr bwMode="auto">
        <a:xfrm>
          <a:off x="5495925" y="1362075"/>
          <a:ext cx="152395" cy="155787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bg1"/>
              </a:solidFill>
            </a:rPr>
            <a:t>4</a:t>
          </a:r>
        </a:p>
      </xdr:txBody>
    </xdr:sp>
    <xdr:clientData/>
  </xdr:twoCellAnchor>
  <xdr:twoCellAnchor>
    <xdr:from>
      <xdr:col>7</xdr:col>
      <xdr:colOff>171450</xdr:colOff>
      <xdr:row>4</xdr:row>
      <xdr:rowOff>0</xdr:rowOff>
    </xdr:from>
    <xdr:to>
      <xdr:col>7</xdr:col>
      <xdr:colOff>685800</xdr:colOff>
      <xdr:row>4</xdr:row>
      <xdr:rowOff>171451</xdr:rowOff>
    </xdr:to>
    <xdr:sp macro="" textlink="">
      <xdr:nvSpPr>
        <xdr:cNvPr id="13" name="วงรี 12">
          <a:extLst>
            <a:ext uri="{FF2B5EF4-FFF2-40B4-BE49-F238E27FC236}">
              <a16:creationId xmlns:a16="http://schemas.microsoft.com/office/drawing/2014/main" id="{B071B770-F290-B54B-67D8-D071545AE08B}"/>
            </a:ext>
          </a:extLst>
        </xdr:cNvPr>
        <xdr:cNvSpPr/>
      </xdr:nvSpPr>
      <xdr:spPr bwMode="auto">
        <a:xfrm>
          <a:off x="5943600" y="990600"/>
          <a:ext cx="514350" cy="190501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6</a:t>
          </a:r>
          <a:r>
            <a:rPr lang="th-TH" sz="900">
              <a:solidFill>
                <a:schemeClr val="bg1"/>
              </a:solidFill>
            </a:rPr>
            <a:t>  </a:t>
          </a:r>
          <a:r>
            <a:rPr lang="en-US" sz="900">
              <a:solidFill>
                <a:schemeClr val="bg1"/>
              </a:solidFill>
            </a:rPr>
            <a:t>=  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142875</xdr:colOff>
      <xdr:row>4</xdr:row>
      <xdr:rowOff>0</xdr:rowOff>
    </xdr:from>
    <xdr:to>
      <xdr:col>8</xdr:col>
      <xdr:colOff>657225</xdr:colOff>
      <xdr:row>4</xdr:row>
      <xdr:rowOff>171451</xdr:rowOff>
    </xdr:to>
    <xdr:sp macro="" textlink="">
      <xdr:nvSpPr>
        <xdr:cNvPr id="14" name="วงรี 12">
          <a:extLst>
            <a:ext uri="{FF2B5EF4-FFF2-40B4-BE49-F238E27FC236}">
              <a16:creationId xmlns:a16="http://schemas.microsoft.com/office/drawing/2014/main" id="{68AB8A2D-E632-CECC-6ABA-2BE02B7C98C9}"/>
            </a:ext>
          </a:extLst>
        </xdr:cNvPr>
        <xdr:cNvSpPr/>
      </xdr:nvSpPr>
      <xdr:spPr bwMode="auto">
        <a:xfrm>
          <a:off x="6743700" y="990600"/>
          <a:ext cx="514350" cy="190501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7</a:t>
          </a:r>
          <a:r>
            <a:rPr lang="th-TH" sz="900">
              <a:solidFill>
                <a:schemeClr val="bg1"/>
              </a:solidFill>
            </a:rPr>
            <a:t>  </a:t>
          </a:r>
          <a:r>
            <a:rPr lang="en-US" sz="900">
              <a:solidFill>
                <a:schemeClr val="bg1"/>
              </a:solidFill>
            </a:rPr>
            <a:t>=  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85725</xdr:colOff>
      <xdr:row>5</xdr:row>
      <xdr:rowOff>47625</xdr:rowOff>
    </xdr:from>
    <xdr:to>
      <xdr:col>7</xdr:col>
      <xdr:colOff>238124</xdr:colOff>
      <xdr:row>5</xdr:row>
      <xdr:rowOff>205031</xdr:rowOff>
    </xdr:to>
    <xdr:sp macro="" textlink="">
      <xdr:nvSpPr>
        <xdr:cNvPr id="15" name="วงรี 14">
          <a:extLst>
            <a:ext uri="{FF2B5EF4-FFF2-40B4-BE49-F238E27FC236}">
              <a16:creationId xmlns:a16="http://schemas.microsoft.com/office/drawing/2014/main" id="{4E764ACA-11D9-00BB-FF03-A870BA8DA392}"/>
            </a:ext>
          </a:extLst>
        </xdr:cNvPr>
        <xdr:cNvSpPr/>
      </xdr:nvSpPr>
      <xdr:spPr bwMode="auto">
        <a:xfrm>
          <a:off x="5857875" y="1371600"/>
          <a:ext cx="152399" cy="155787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8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504825</xdr:colOff>
      <xdr:row>5</xdr:row>
      <xdr:rowOff>57150</xdr:rowOff>
    </xdr:from>
    <xdr:to>
      <xdr:col>7</xdr:col>
      <xdr:colOff>657224</xdr:colOff>
      <xdr:row>5</xdr:row>
      <xdr:rowOff>214083</xdr:rowOff>
    </xdr:to>
    <xdr:sp macro="" textlink="">
      <xdr:nvSpPr>
        <xdr:cNvPr id="16" name="วงรี 14">
          <a:extLst>
            <a:ext uri="{FF2B5EF4-FFF2-40B4-BE49-F238E27FC236}">
              <a16:creationId xmlns:a16="http://schemas.microsoft.com/office/drawing/2014/main" id="{974811C9-56AF-4F4E-C370-4C9ECEBE5FC3}"/>
            </a:ext>
          </a:extLst>
        </xdr:cNvPr>
        <xdr:cNvSpPr/>
      </xdr:nvSpPr>
      <xdr:spPr bwMode="auto">
        <a:xfrm>
          <a:off x="6276975" y="1381125"/>
          <a:ext cx="152399" cy="156604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9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323850</xdr:colOff>
      <xdr:row>5</xdr:row>
      <xdr:rowOff>114300</xdr:rowOff>
    </xdr:from>
    <xdr:to>
      <xdr:col>7</xdr:col>
      <xdr:colOff>457200</xdr:colOff>
      <xdr:row>5</xdr:row>
      <xdr:rowOff>190500</xdr:rowOff>
    </xdr:to>
    <xdr:sp macro="" textlink="">
      <xdr:nvSpPr>
        <xdr:cNvPr id="17" name="บวก 11">
          <a:extLst>
            <a:ext uri="{FF2B5EF4-FFF2-40B4-BE49-F238E27FC236}">
              <a16:creationId xmlns:a16="http://schemas.microsoft.com/office/drawing/2014/main" id="{1F2D8109-B023-44E6-61AC-3C52E14AB565}"/>
            </a:ext>
          </a:extLst>
        </xdr:cNvPr>
        <xdr:cNvSpPr/>
      </xdr:nvSpPr>
      <xdr:spPr bwMode="auto">
        <a:xfrm>
          <a:off x="6096000" y="1438275"/>
          <a:ext cx="133350" cy="76200"/>
        </a:xfrm>
        <a:prstGeom prst="mathPlus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th-TH"/>
        </a:p>
      </xdr:txBody>
    </xdr:sp>
    <xdr:clientData/>
  </xdr:twoCellAnchor>
  <xdr:twoCellAnchor>
    <xdr:from>
      <xdr:col>8</xdr:col>
      <xdr:colOff>104775</xdr:colOff>
      <xdr:row>5</xdr:row>
      <xdr:rowOff>57150</xdr:rowOff>
    </xdr:from>
    <xdr:to>
      <xdr:col>8</xdr:col>
      <xdr:colOff>257174</xdr:colOff>
      <xdr:row>5</xdr:row>
      <xdr:rowOff>214083</xdr:rowOff>
    </xdr:to>
    <xdr:sp macro="" textlink="">
      <xdr:nvSpPr>
        <xdr:cNvPr id="18" name="วงรี 14">
          <a:extLst>
            <a:ext uri="{FF2B5EF4-FFF2-40B4-BE49-F238E27FC236}">
              <a16:creationId xmlns:a16="http://schemas.microsoft.com/office/drawing/2014/main" id="{CDF97C3B-2FAE-640C-77C2-7E87D34DF0DC}"/>
            </a:ext>
          </a:extLst>
        </xdr:cNvPr>
        <xdr:cNvSpPr/>
      </xdr:nvSpPr>
      <xdr:spPr bwMode="auto">
        <a:xfrm>
          <a:off x="6705600" y="1381125"/>
          <a:ext cx="152399" cy="156604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5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514350</xdr:colOff>
      <xdr:row>5</xdr:row>
      <xdr:rowOff>66675</xdr:rowOff>
    </xdr:from>
    <xdr:to>
      <xdr:col>8</xdr:col>
      <xdr:colOff>666747</xdr:colOff>
      <xdr:row>6</xdr:row>
      <xdr:rowOff>4742</xdr:rowOff>
    </xdr:to>
    <xdr:sp macro="" textlink="">
      <xdr:nvSpPr>
        <xdr:cNvPr id="19" name="วงรี 14">
          <a:extLst>
            <a:ext uri="{FF2B5EF4-FFF2-40B4-BE49-F238E27FC236}">
              <a16:creationId xmlns:a16="http://schemas.microsoft.com/office/drawing/2014/main" id="{234047FF-3C54-5E77-3631-4239524AB48F}"/>
            </a:ext>
          </a:extLst>
        </xdr:cNvPr>
        <xdr:cNvSpPr/>
      </xdr:nvSpPr>
      <xdr:spPr bwMode="auto">
        <a:xfrm>
          <a:off x="7115175" y="1390650"/>
          <a:ext cx="152397" cy="156709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6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314325</xdr:colOff>
      <xdr:row>5</xdr:row>
      <xdr:rowOff>123825</xdr:rowOff>
    </xdr:from>
    <xdr:to>
      <xdr:col>8</xdr:col>
      <xdr:colOff>457200</xdr:colOff>
      <xdr:row>5</xdr:row>
      <xdr:rowOff>160400</xdr:rowOff>
    </xdr:to>
    <xdr:sp macro="" textlink="">
      <xdr:nvSpPr>
        <xdr:cNvPr id="20" name="ลบ 16">
          <a:extLst>
            <a:ext uri="{FF2B5EF4-FFF2-40B4-BE49-F238E27FC236}">
              <a16:creationId xmlns:a16="http://schemas.microsoft.com/office/drawing/2014/main" id="{6D6239AD-BA0A-1F3F-F399-7CDB06333C51}"/>
            </a:ext>
          </a:extLst>
        </xdr:cNvPr>
        <xdr:cNvSpPr/>
      </xdr:nvSpPr>
      <xdr:spPr bwMode="auto">
        <a:xfrm>
          <a:off x="6915150" y="1447800"/>
          <a:ext cx="142875" cy="36575"/>
        </a:xfrm>
        <a:prstGeom prst="mathMinus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th-TH"/>
        </a:p>
      </xdr:txBody>
    </xdr:sp>
    <xdr:clientData/>
  </xdr:twoCellAnchor>
  <xdr:twoCellAnchor>
    <xdr:from>
      <xdr:col>9</xdr:col>
      <xdr:colOff>285750</xdr:colOff>
      <xdr:row>5</xdr:row>
      <xdr:rowOff>66675</xdr:rowOff>
    </xdr:from>
    <xdr:to>
      <xdr:col>9</xdr:col>
      <xdr:colOff>438149</xdr:colOff>
      <xdr:row>6</xdr:row>
      <xdr:rowOff>4742</xdr:rowOff>
    </xdr:to>
    <xdr:sp macro="" textlink="">
      <xdr:nvSpPr>
        <xdr:cNvPr id="21" name="วงรี 14">
          <a:extLst>
            <a:ext uri="{FF2B5EF4-FFF2-40B4-BE49-F238E27FC236}">
              <a16:creationId xmlns:a16="http://schemas.microsoft.com/office/drawing/2014/main" id="{BE2D5128-9FD0-50C2-ACB4-B85BDC066A61}"/>
            </a:ext>
          </a:extLst>
        </xdr:cNvPr>
        <xdr:cNvSpPr/>
      </xdr:nvSpPr>
      <xdr:spPr bwMode="auto">
        <a:xfrm>
          <a:off x="7677150" y="1390650"/>
          <a:ext cx="152399" cy="156709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8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333375</xdr:colOff>
      <xdr:row>5</xdr:row>
      <xdr:rowOff>66675</xdr:rowOff>
    </xdr:from>
    <xdr:to>
      <xdr:col>10</xdr:col>
      <xdr:colOff>485774</xdr:colOff>
      <xdr:row>6</xdr:row>
      <xdr:rowOff>4742</xdr:rowOff>
    </xdr:to>
    <xdr:sp macro="" textlink="">
      <xdr:nvSpPr>
        <xdr:cNvPr id="22" name="วงรี 14">
          <a:extLst>
            <a:ext uri="{FF2B5EF4-FFF2-40B4-BE49-F238E27FC236}">
              <a16:creationId xmlns:a16="http://schemas.microsoft.com/office/drawing/2014/main" id="{0E6B4E26-4993-6FFE-745D-5EF6E2ACD1BD}"/>
            </a:ext>
          </a:extLst>
        </xdr:cNvPr>
        <xdr:cNvSpPr/>
      </xdr:nvSpPr>
      <xdr:spPr bwMode="auto">
        <a:xfrm>
          <a:off x="8515350" y="1390650"/>
          <a:ext cx="152399" cy="156709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9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352425</xdr:colOff>
      <xdr:row>5</xdr:row>
      <xdr:rowOff>57150</xdr:rowOff>
    </xdr:from>
    <xdr:to>
      <xdr:col>2</xdr:col>
      <xdr:colOff>504824</xdr:colOff>
      <xdr:row>5</xdr:row>
      <xdr:rowOff>214083</xdr:rowOff>
    </xdr:to>
    <xdr:sp macro="" textlink="">
      <xdr:nvSpPr>
        <xdr:cNvPr id="23" name="วงรี 22">
          <a:extLst>
            <a:ext uri="{FF2B5EF4-FFF2-40B4-BE49-F238E27FC236}">
              <a16:creationId xmlns:a16="http://schemas.microsoft.com/office/drawing/2014/main" id="{208A1A3D-AE1E-6381-381D-DB96A439D542}"/>
            </a:ext>
          </a:extLst>
        </xdr:cNvPr>
        <xdr:cNvSpPr/>
      </xdr:nvSpPr>
      <xdr:spPr bwMode="auto">
        <a:xfrm>
          <a:off x="2124075" y="1381125"/>
          <a:ext cx="152399" cy="156604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bg1"/>
              </a:solidFill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6</xdr:row>
      <xdr:rowOff>57150</xdr:rowOff>
    </xdr:from>
    <xdr:to>
      <xdr:col>5</xdr:col>
      <xdr:colOff>514349</xdr:colOff>
      <xdr:row>6</xdr:row>
      <xdr:rowOff>214800</xdr:rowOff>
    </xdr:to>
    <xdr:sp macro="" textlink="">
      <xdr:nvSpPr>
        <xdr:cNvPr id="2" name="วงรี 1">
          <a:extLst>
            <a:ext uri="{FF2B5EF4-FFF2-40B4-BE49-F238E27FC236}">
              <a16:creationId xmlns:a16="http://schemas.microsoft.com/office/drawing/2014/main" id="{B79484BF-475A-481F-46B1-3C0C3C6D1C35}"/>
            </a:ext>
          </a:extLst>
        </xdr:cNvPr>
        <xdr:cNvSpPr/>
      </xdr:nvSpPr>
      <xdr:spPr bwMode="auto">
        <a:xfrm>
          <a:off x="5286375" y="2076450"/>
          <a:ext cx="152399" cy="185752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8</xdr:col>
      <xdr:colOff>295275</xdr:colOff>
      <xdr:row>6</xdr:row>
      <xdr:rowOff>38100</xdr:rowOff>
    </xdr:from>
    <xdr:to>
      <xdr:col>8</xdr:col>
      <xdr:colOff>447674</xdr:colOff>
      <xdr:row>6</xdr:row>
      <xdr:rowOff>196413</xdr:rowOff>
    </xdr:to>
    <xdr:sp macro="" textlink="">
      <xdr:nvSpPr>
        <xdr:cNvPr id="3" name="วงรี 2">
          <a:extLst>
            <a:ext uri="{FF2B5EF4-FFF2-40B4-BE49-F238E27FC236}">
              <a16:creationId xmlns:a16="http://schemas.microsoft.com/office/drawing/2014/main" id="{272706E7-D340-88AA-BBCD-97C932C13068}"/>
            </a:ext>
          </a:extLst>
        </xdr:cNvPr>
        <xdr:cNvSpPr/>
      </xdr:nvSpPr>
      <xdr:spPr bwMode="auto">
        <a:xfrm>
          <a:off x="6819900" y="2057400"/>
          <a:ext cx="152399" cy="186251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4</a:t>
          </a:r>
        </a:p>
      </xdr:txBody>
    </xdr:sp>
    <xdr:clientData/>
  </xdr:twoCellAnchor>
  <xdr:twoCellAnchor>
    <xdr:from>
      <xdr:col>4</xdr:col>
      <xdr:colOff>314325</xdr:colOff>
      <xdr:row>6</xdr:row>
      <xdr:rowOff>47625</xdr:rowOff>
    </xdr:from>
    <xdr:to>
      <xdr:col>4</xdr:col>
      <xdr:colOff>466724</xdr:colOff>
      <xdr:row>6</xdr:row>
      <xdr:rowOff>203896</xdr:rowOff>
    </xdr:to>
    <xdr:sp macro="" textlink="">
      <xdr:nvSpPr>
        <xdr:cNvPr id="4" name="วงรี 3">
          <a:extLst>
            <a:ext uri="{FF2B5EF4-FFF2-40B4-BE49-F238E27FC236}">
              <a16:creationId xmlns:a16="http://schemas.microsoft.com/office/drawing/2014/main" id="{4DCDF3B5-4414-AFE3-EEE2-E29606C1E1BC}"/>
            </a:ext>
          </a:extLst>
        </xdr:cNvPr>
        <xdr:cNvSpPr/>
      </xdr:nvSpPr>
      <xdr:spPr bwMode="auto">
        <a:xfrm>
          <a:off x="4429125" y="2066925"/>
          <a:ext cx="152399" cy="185572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1</a:t>
          </a:r>
        </a:p>
      </xdr:txBody>
    </xdr:sp>
    <xdr:clientData/>
  </xdr:twoCellAnchor>
  <xdr:twoCellAnchor>
    <xdr:from>
      <xdr:col>7</xdr:col>
      <xdr:colOff>152401</xdr:colOff>
      <xdr:row>4</xdr:row>
      <xdr:rowOff>390524</xdr:rowOff>
    </xdr:from>
    <xdr:to>
      <xdr:col>7</xdr:col>
      <xdr:colOff>666751</xdr:colOff>
      <xdr:row>5</xdr:row>
      <xdr:rowOff>333375</xdr:rowOff>
    </xdr:to>
    <xdr:sp macro="" textlink="">
      <xdr:nvSpPr>
        <xdr:cNvPr id="5" name="วงรี 4">
          <a:extLst>
            <a:ext uri="{FF2B5EF4-FFF2-40B4-BE49-F238E27FC236}">
              <a16:creationId xmlns:a16="http://schemas.microsoft.com/office/drawing/2014/main" id="{42361F7C-55D5-066F-AD6B-9F3CA3EE7D7D}"/>
            </a:ext>
          </a:extLst>
        </xdr:cNvPr>
        <xdr:cNvSpPr/>
      </xdr:nvSpPr>
      <xdr:spPr bwMode="auto">
        <a:xfrm>
          <a:off x="5867401" y="1609724"/>
          <a:ext cx="514350" cy="333376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3  </a:t>
          </a:r>
          <a:r>
            <a:rPr lang="en-US" sz="900">
              <a:solidFill>
                <a:schemeClr val="tx1"/>
              </a:solidFill>
            </a:rPr>
            <a:t>=  </a:t>
          </a:r>
          <a:endParaRPr lang="th-TH" sz="9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485775</xdr:colOff>
      <xdr:row>6</xdr:row>
      <xdr:rowOff>57150</xdr:rowOff>
    </xdr:from>
    <xdr:to>
      <xdr:col>7</xdr:col>
      <xdr:colOff>638174</xdr:colOff>
      <xdr:row>6</xdr:row>
      <xdr:rowOff>213324</xdr:rowOff>
    </xdr:to>
    <xdr:sp macro="" textlink="">
      <xdr:nvSpPr>
        <xdr:cNvPr id="6" name="วงรี 5">
          <a:extLst>
            <a:ext uri="{FF2B5EF4-FFF2-40B4-BE49-F238E27FC236}">
              <a16:creationId xmlns:a16="http://schemas.microsoft.com/office/drawing/2014/main" id="{82294B16-38A8-CEC9-F7FD-4CFA1B56ED08}"/>
            </a:ext>
          </a:extLst>
        </xdr:cNvPr>
        <xdr:cNvSpPr/>
      </xdr:nvSpPr>
      <xdr:spPr bwMode="auto">
        <a:xfrm>
          <a:off x="6200775" y="2076450"/>
          <a:ext cx="152399" cy="185784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7</xdr:col>
      <xdr:colOff>314325</xdr:colOff>
      <xdr:row>6</xdr:row>
      <xdr:rowOff>123825</xdr:rowOff>
    </xdr:from>
    <xdr:to>
      <xdr:col>7</xdr:col>
      <xdr:colOff>447675</xdr:colOff>
      <xdr:row>6</xdr:row>
      <xdr:rowOff>200025</xdr:rowOff>
    </xdr:to>
    <xdr:sp macro="" textlink="">
      <xdr:nvSpPr>
        <xdr:cNvPr id="7" name="บวก 11">
          <a:extLst>
            <a:ext uri="{FF2B5EF4-FFF2-40B4-BE49-F238E27FC236}">
              <a16:creationId xmlns:a16="http://schemas.microsoft.com/office/drawing/2014/main" id="{9CD43F52-F858-61D0-4500-261DF81232D0}"/>
            </a:ext>
          </a:extLst>
        </xdr:cNvPr>
        <xdr:cNvSpPr/>
      </xdr:nvSpPr>
      <xdr:spPr bwMode="auto">
        <a:xfrm>
          <a:off x="6029325" y="2152650"/>
          <a:ext cx="133350" cy="85725"/>
        </a:xfrm>
        <a:prstGeom prst="mathPlus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th-TH"/>
        </a:p>
      </xdr:txBody>
    </xdr:sp>
    <xdr:clientData/>
  </xdr:twoCellAnchor>
  <xdr:twoCellAnchor>
    <xdr:from>
      <xdr:col>11</xdr:col>
      <xdr:colOff>47625</xdr:colOff>
      <xdr:row>6</xdr:row>
      <xdr:rowOff>0</xdr:rowOff>
    </xdr:from>
    <xdr:to>
      <xdr:col>11</xdr:col>
      <xdr:colOff>200024</xdr:colOff>
      <xdr:row>6</xdr:row>
      <xdr:rowOff>156378</xdr:rowOff>
    </xdr:to>
    <xdr:sp macro="" textlink="">
      <xdr:nvSpPr>
        <xdr:cNvPr id="8" name="วงรี 23">
          <a:extLst>
            <a:ext uri="{FF2B5EF4-FFF2-40B4-BE49-F238E27FC236}">
              <a16:creationId xmlns:a16="http://schemas.microsoft.com/office/drawing/2014/main" id="{242257C3-6FD7-4D14-B219-F9A9AED24A4C}"/>
            </a:ext>
          </a:extLst>
        </xdr:cNvPr>
        <xdr:cNvSpPr/>
      </xdr:nvSpPr>
      <xdr:spPr bwMode="auto">
        <a:xfrm>
          <a:off x="8924925" y="2009775"/>
          <a:ext cx="152399" cy="185699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4</a:t>
          </a:r>
        </a:p>
      </xdr:txBody>
    </xdr:sp>
    <xdr:clientData/>
  </xdr:twoCellAnchor>
  <xdr:twoCellAnchor>
    <xdr:from>
      <xdr:col>11</xdr:col>
      <xdr:colOff>333375</xdr:colOff>
      <xdr:row>6</xdr:row>
      <xdr:rowOff>0</xdr:rowOff>
    </xdr:from>
    <xdr:to>
      <xdr:col>11</xdr:col>
      <xdr:colOff>485774</xdr:colOff>
      <xdr:row>6</xdr:row>
      <xdr:rowOff>156195</xdr:rowOff>
    </xdr:to>
    <xdr:sp macro="" textlink="">
      <xdr:nvSpPr>
        <xdr:cNvPr id="9" name="วงรี 24">
          <a:extLst>
            <a:ext uri="{FF2B5EF4-FFF2-40B4-BE49-F238E27FC236}">
              <a16:creationId xmlns:a16="http://schemas.microsoft.com/office/drawing/2014/main" id="{D829F7F7-45E5-3890-EDF3-8933AFC321E2}"/>
            </a:ext>
          </a:extLst>
        </xdr:cNvPr>
        <xdr:cNvSpPr/>
      </xdr:nvSpPr>
      <xdr:spPr bwMode="auto">
        <a:xfrm>
          <a:off x="9210675" y="2009775"/>
          <a:ext cx="152399" cy="185482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5</a:t>
          </a:r>
        </a:p>
      </xdr:txBody>
    </xdr:sp>
    <xdr:clientData/>
  </xdr:twoCellAnchor>
  <xdr:twoCellAnchor>
    <xdr:from>
      <xdr:col>11</xdr:col>
      <xdr:colOff>200025</xdr:colOff>
      <xdr:row>6</xdr:row>
      <xdr:rowOff>47625</xdr:rowOff>
    </xdr:from>
    <xdr:to>
      <xdr:col>11</xdr:col>
      <xdr:colOff>333375</xdr:colOff>
      <xdr:row>6</xdr:row>
      <xdr:rowOff>123825</xdr:rowOff>
    </xdr:to>
    <xdr:sp macro="" textlink="">
      <xdr:nvSpPr>
        <xdr:cNvPr id="10" name="บวก 11">
          <a:extLst>
            <a:ext uri="{FF2B5EF4-FFF2-40B4-BE49-F238E27FC236}">
              <a16:creationId xmlns:a16="http://schemas.microsoft.com/office/drawing/2014/main" id="{CB20925A-3ACE-37ED-E094-9CA14E0FA0D2}"/>
            </a:ext>
          </a:extLst>
        </xdr:cNvPr>
        <xdr:cNvSpPr/>
      </xdr:nvSpPr>
      <xdr:spPr bwMode="auto">
        <a:xfrm>
          <a:off x="9077325" y="2066925"/>
          <a:ext cx="133350" cy="85725"/>
        </a:xfrm>
        <a:prstGeom prst="mathPlus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th-TH"/>
        </a:p>
      </xdr:txBody>
    </xdr:sp>
    <xdr:clientData/>
  </xdr:twoCellAnchor>
  <xdr:twoCellAnchor>
    <xdr:from>
      <xdr:col>7</xdr:col>
      <xdr:colOff>95250</xdr:colOff>
      <xdr:row>6</xdr:row>
      <xdr:rowOff>57150</xdr:rowOff>
    </xdr:from>
    <xdr:to>
      <xdr:col>7</xdr:col>
      <xdr:colOff>247649</xdr:colOff>
      <xdr:row>6</xdr:row>
      <xdr:rowOff>213338</xdr:rowOff>
    </xdr:to>
    <xdr:sp macro="" textlink="">
      <xdr:nvSpPr>
        <xdr:cNvPr id="11" name="วงรี 26">
          <a:extLst>
            <a:ext uri="{FF2B5EF4-FFF2-40B4-BE49-F238E27FC236}">
              <a16:creationId xmlns:a16="http://schemas.microsoft.com/office/drawing/2014/main" id="{B41F790C-71EA-1ADE-5CA4-ADC06B8B77D7}"/>
            </a:ext>
          </a:extLst>
        </xdr:cNvPr>
        <xdr:cNvSpPr/>
      </xdr:nvSpPr>
      <xdr:spPr bwMode="auto">
        <a:xfrm>
          <a:off x="5810250" y="2076450"/>
          <a:ext cx="152399" cy="185796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1</a:t>
          </a:r>
        </a:p>
      </xdr:txBody>
    </xdr:sp>
    <xdr:clientData/>
  </xdr:twoCellAnchor>
  <xdr:twoCellAnchor>
    <xdr:from>
      <xdr:col>9</xdr:col>
      <xdr:colOff>247650</xdr:colOff>
      <xdr:row>6</xdr:row>
      <xdr:rowOff>38100</xdr:rowOff>
    </xdr:from>
    <xdr:to>
      <xdr:col>9</xdr:col>
      <xdr:colOff>400049</xdr:colOff>
      <xdr:row>6</xdr:row>
      <xdr:rowOff>196413</xdr:rowOff>
    </xdr:to>
    <xdr:sp macro="" textlink="">
      <xdr:nvSpPr>
        <xdr:cNvPr id="12" name="วงรี 27">
          <a:extLst>
            <a:ext uri="{FF2B5EF4-FFF2-40B4-BE49-F238E27FC236}">
              <a16:creationId xmlns:a16="http://schemas.microsoft.com/office/drawing/2014/main" id="{3958F2B2-564B-24D0-A7A2-E21848E4E64C}"/>
            </a:ext>
          </a:extLst>
        </xdr:cNvPr>
        <xdr:cNvSpPr/>
      </xdr:nvSpPr>
      <xdr:spPr bwMode="auto">
        <a:xfrm>
          <a:off x="7553325" y="2057400"/>
          <a:ext cx="152399" cy="186251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5</a:t>
          </a:r>
        </a:p>
      </xdr:txBody>
    </xdr:sp>
    <xdr:clientData/>
  </xdr:twoCellAnchor>
  <xdr:twoCellAnchor>
    <xdr:from>
      <xdr:col>10</xdr:col>
      <xdr:colOff>323850</xdr:colOff>
      <xdr:row>6</xdr:row>
      <xdr:rowOff>47625</xdr:rowOff>
    </xdr:from>
    <xdr:to>
      <xdr:col>10</xdr:col>
      <xdr:colOff>476249</xdr:colOff>
      <xdr:row>6</xdr:row>
      <xdr:rowOff>203862</xdr:rowOff>
    </xdr:to>
    <xdr:sp macro="" textlink="">
      <xdr:nvSpPr>
        <xdr:cNvPr id="13" name="วงรี 28">
          <a:extLst>
            <a:ext uri="{FF2B5EF4-FFF2-40B4-BE49-F238E27FC236}">
              <a16:creationId xmlns:a16="http://schemas.microsoft.com/office/drawing/2014/main" id="{DA8CC0F1-6097-82FA-1E83-98D8281C1A6C}"/>
            </a:ext>
          </a:extLst>
        </xdr:cNvPr>
        <xdr:cNvSpPr/>
      </xdr:nvSpPr>
      <xdr:spPr bwMode="auto">
        <a:xfrm>
          <a:off x="8391525" y="2066925"/>
          <a:ext cx="152399" cy="185531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6</a:t>
          </a:r>
        </a:p>
      </xdr:txBody>
    </xdr:sp>
    <xdr:clientData/>
  </xdr:twoCellAnchor>
  <xdr:twoCellAnchor>
    <xdr:from>
      <xdr:col>11</xdr:col>
      <xdr:colOff>123825</xdr:colOff>
      <xdr:row>5</xdr:row>
      <xdr:rowOff>0</xdr:rowOff>
    </xdr:from>
    <xdr:to>
      <xdr:col>11</xdr:col>
      <xdr:colOff>638175</xdr:colOff>
      <xdr:row>5</xdr:row>
      <xdr:rowOff>333376</xdr:rowOff>
    </xdr:to>
    <xdr:sp macro="" textlink="">
      <xdr:nvSpPr>
        <xdr:cNvPr id="14" name="วงรี 30">
          <a:extLst>
            <a:ext uri="{FF2B5EF4-FFF2-40B4-BE49-F238E27FC236}">
              <a16:creationId xmlns:a16="http://schemas.microsoft.com/office/drawing/2014/main" id="{AAA37F48-F927-E897-F6B4-DAC0C78BEC74}"/>
            </a:ext>
          </a:extLst>
        </xdr:cNvPr>
        <xdr:cNvSpPr/>
      </xdr:nvSpPr>
      <xdr:spPr bwMode="auto">
        <a:xfrm>
          <a:off x="9001125" y="1609725"/>
          <a:ext cx="514350" cy="333376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7  </a:t>
          </a:r>
          <a:r>
            <a:rPr lang="en-US" sz="900">
              <a:solidFill>
                <a:schemeClr val="tx1"/>
              </a:solidFill>
            </a:rPr>
            <a:t>=  </a:t>
          </a:r>
          <a:endParaRPr lang="th-TH" sz="9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581025</xdr:colOff>
      <xdr:row>6</xdr:row>
      <xdr:rowOff>19050</xdr:rowOff>
    </xdr:from>
    <xdr:to>
      <xdr:col>11</xdr:col>
      <xdr:colOff>733424</xdr:colOff>
      <xdr:row>6</xdr:row>
      <xdr:rowOff>177363</xdr:rowOff>
    </xdr:to>
    <xdr:sp macro="" textlink="">
      <xdr:nvSpPr>
        <xdr:cNvPr id="15" name="วงรี 32">
          <a:extLst>
            <a:ext uri="{FF2B5EF4-FFF2-40B4-BE49-F238E27FC236}">
              <a16:creationId xmlns:a16="http://schemas.microsoft.com/office/drawing/2014/main" id="{0084F5EB-5D62-9D32-5708-40D6582DDB38}"/>
            </a:ext>
          </a:extLst>
        </xdr:cNvPr>
        <xdr:cNvSpPr/>
      </xdr:nvSpPr>
      <xdr:spPr bwMode="auto">
        <a:xfrm>
          <a:off x="9458325" y="2028825"/>
          <a:ext cx="152399" cy="186251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6</a:t>
          </a:r>
        </a:p>
      </xdr:txBody>
    </xdr:sp>
    <xdr:clientData/>
  </xdr:twoCellAnchor>
  <xdr:twoCellAnchor>
    <xdr:from>
      <xdr:col>11</xdr:col>
      <xdr:colOff>476250</xdr:colOff>
      <xdr:row>6</xdr:row>
      <xdr:rowOff>47625</xdr:rowOff>
    </xdr:from>
    <xdr:to>
      <xdr:col>11</xdr:col>
      <xdr:colOff>609600</xdr:colOff>
      <xdr:row>6</xdr:row>
      <xdr:rowOff>123825</xdr:rowOff>
    </xdr:to>
    <xdr:sp macro="" textlink="">
      <xdr:nvSpPr>
        <xdr:cNvPr id="16" name="บวก 11">
          <a:extLst>
            <a:ext uri="{FF2B5EF4-FFF2-40B4-BE49-F238E27FC236}">
              <a16:creationId xmlns:a16="http://schemas.microsoft.com/office/drawing/2014/main" id="{2B287317-D0B8-9147-897D-C19D4ADE12A6}"/>
            </a:ext>
          </a:extLst>
        </xdr:cNvPr>
        <xdr:cNvSpPr/>
      </xdr:nvSpPr>
      <xdr:spPr bwMode="auto">
        <a:xfrm>
          <a:off x="9353550" y="2066925"/>
          <a:ext cx="133350" cy="85725"/>
        </a:xfrm>
        <a:prstGeom prst="mathPlus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th-TH"/>
        </a:p>
      </xdr:txBody>
    </xdr:sp>
    <xdr:clientData/>
  </xdr:twoCellAnchor>
  <xdr:twoCellAnchor>
    <xdr:from>
      <xdr:col>12</xdr:col>
      <xdr:colOff>142875</xdr:colOff>
      <xdr:row>5</xdr:row>
      <xdr:rowOff>0</xdr:rowOff>
    </xdr:from>
    <xdr:to>
      <xdr:col>12</xdr:col>
      <xdr:colOff>657225</xdr:colOff>
      <xdr:row>5</xdr:row>
      <xdr:rowOff>333376</xdr:rowOff>
    </xdr:to>
    <xdr:sp macro="" textlink="">
      <xdr:nvSpPr>
        <xdr:cNvPr id="17" name="วงรี 17">
          <a:extLst>
            <a:ext uri="{FF2B5EF4-FFF2-40B4-BE49-F238E27FC236}">
              <a16:creationId xmlns:a16="http://schemas.microsoft.com/office/drawing/2014/main" id="{84835FA9-A6F5-E373-0649-79F9BF92FC8C}"/>
            </a:ext>
          </a:extLst>
        </xdr:cNvPr>
        <xdr:cNvSpPr/>
      </xdr:nvSpPr>
      <xdr:spPr bwMode="auto">
        <a:xfrm>
          <a:off x="9829800" y="1609725"/>
          <a:ext cx="514350" cy="333376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8  </a:t>
          </a:r>
          <a:r>
            <a:rPr lang="en-US" sz="900">
              <a:solidFill>
                <a:schemeClr val="tx1"/>
              </a:solidFill>
            </a:rPr>
            <a:t>=  </a:t>
          </a:r>
          <a:endParaRPr lang="th-TH" sz="9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142875</xdr:colOff>
      <xdr:row>6</xdr:row>
      <xdr:rowOff>28575</xdr:rowOff>
    </xdr:from>
    <xdr:to>
      <xdr:col>12</xdr:col>
      <xdr:colOff>295274</xdr:colOff>
      <xdr:row>6</xdr:row>
      <xdr:rowOff>184953</xdr:rowOff>
    </xdr:to>
    <xdr:sp macro="" textlink="">
      <xdr:nvSpPr>
        <xdr:cNvPr id="18" name="วงรี 18">
          <a:extLst>
            <a:ext uri="{FF2B5EF4-FFF2-40B4-BE49-F238E27FC236}">
              <a16:creationId xmlns:a16="http://schemas.microsoft.com/office/drawing/2014/main" id="{CC222C3B-5916-BC31-54EB-1A5C00C22F0B}"/>
            </a:ext>
          </a:extLst>
        </xdr:cNvPr>
        <xdr:cNvSpPr/>
      </xdr:nvSpPr>
      <xdr:spPr bwMode="auto">
        <a:xfrm>
          <a:off x="9829800" y="2047875"/>
          <a:ext cx="152399" cy="185699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3</a:t>
          </a:r>
        </a:p>
      </xdr:txBody>
    </xdr:sp>
    <xdr:clientData/>
  </xdr:twoCellAnchor>
  <xdr:twoCellAnchor>
    <xdr:from>
      <xdr:col>12</xdr:col>
      <xdr:colOff>495300</xdr:colOff>
      <xdr:row>6</xdr:row>
      <xdr:rowOff>38100</xdr:rowOff>
    </xdr:from>
    <xdr:to>
      <xdr:col>12</xdr:col>
      <xdr:colOff>647699</xdr:colOff>
      <xdr:row>6</xdr:row>
      <xdr:rowOff>194295</xdr:rowOff>
    </xdr:to>
    <xdr:sp macro="" textlink="">
      <xdr:nvSpPr>
        <xdr:cNvPr id="19" name="วงรี 19">
          <a:extLst>
            <a:ext uri="{FF2B5EF4-FFF2-40B4-BE49-F238E27FC236}">
              <a16:creationId xmlns:a16="http://schemas.microsoft.com/office/drawing/2014/main" id="{C7A0D7A3-03BE-840A-3005-6405B95B9663}"/>
            </a:ext>
          </a:extLst>
        </xdr:cNvPr>
        <xdr:cNvSpPr/>
      </xdr:nvSpPr>
      <xdr:spPr bwMode="auto">
        <a:xfrm>
          <a:off x="10182225" y="2057400"/>
          <a:ext cx="152399" cy="185482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7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6</xdr:row>
      <xdr:rowOff>57150</xdr:rowOff>
    </xdr:from>
    <xdr:to>
      <xdr:col>5</xdr:col>
      <xdr:colOff>514349</xdr:colOff>
      <xdr:row>6</xdr:row>
      <xdr:rowOff>214800</xdr:rowOff>
    </xdr:to>
    <xdr:sp macro="" textlink="">
      <xdr:nvSpPr>
        <xdr:cNvPr id="2" name="วงรี 1">
          <a:extLst>
            <a:ext uri="{FF2B5EF4-FFF2-40B4-BE49-F238E27FC236}">
              <a16:creationId xmlns:a16="http://schemas.microsoft.com/office/drawing/2014/main" id="{2F56D2E6-8BA3-6737-EF84-849F01E7D686}"/>
            </a:ext>
          </a:extLst>
        </xdr:cNvPr>
        <xdr:cNvSpPr/>
      </xdr:nvSpPr>
      <xdr:spPr bwMode="auto">
        <a:xfrm>
          <a:off x="5286375" y="2028825"/>
          <a:ext cx="152399" cy="157676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8</xdr:col>
      <xdr:colOff>295275</xdr:colOff>
      <xdr:row>6</xdr:row>
      <xdr:rowOff>38100</xdr:rowOff>
    </xdr:from>
    <xdr:to>
      <xdr:col>8</xdr:col>
      <xdr:colOff>447674</xdr:colOff>
      <xdr:row>6</xdr:row>
      <xdr:rowOff>196413</xdr:rowOff>
    </xdr:to>
    <xdr:sp macro="" textlink="">
      <xdr:nvSpPr>
        <xdr:cNvPr id="3" name="วงรี 2">
          <a:extLst>
            <a:ext uri="{FF2B5EF4-FFF2-40B4-BE49-F238E27FC236}">
              <a16:creationId xmlns:a16="http://schemas.microsoft.com/office/drawing/2014/main" id="{764665C0-A69D-4B98-3CDE-4CEF3CCF3C12}"/>
            </a:ext>
          </a:extLst>
        </xdr:cNvPr>
        <xdr:cNvSpPr/>
      </xdr:nvSpPr>
      <xdr:spPr bwMode="auto">
        <a:xfrm>
          <a:off x="6819900" y="1866900"/>
          <a:ext cx="152399" cy="156843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4</a:t>
          </a:r>
        </a:p>
      </xdr:txBody>
    </xdr:sp>
    <xdr:clientData/>
  </xdr:twoCellAnchor>
  <xdr:twoCellAnchor>
    <xdr:from>
      <xdr:col>4</xdr:col>
      <xdr:colOff>314325</xdr:colOff>
      <xdr:row>6</xdr:row>
      <xdr:rowOff>47625</xdr:rowOff>
    </xdr:from>
    <xdr:to>
      <xdr:col>4</xdr:col>
      <xdr:colOff>466724</xdr:colOff>
      <xdr:row>6</xdr:row>
      <xdr:rowOff>203896</xdr:rowOff>
    </xdr:to>
    <xdr:sp macro="" textlink="">
      <xdr:nvSpPr>
        <xdr:cNvPr id="4" name="วงรี 3">
          <a:extLst>
            <a:ext uri="{FF2B5EF4-FFF2-40B4-BE49-F238E27FC236}">
              <a16:creationId xmlns:a16="http://schemas.microsoft.com/office/drawing/2014/main" id="{AD55A407-9D80-1CA5-DD43-0437AD06F120}"/>
            </a:ext>
          </a:extLst>
        </xdr:cNvPr>
        <xdr:cNvSpPr/>
      </xdr:nvSpPr>
      <xdr:spPr bwMode="auto">
        <a:xfrm>
          <a:off x="4429125" y="2019300"/>
          <a:ext cx="152399" cy="157945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1</a:t>
          </a:r>
        </a:p>
      </xdr:txBody>
    </xdr:sp>
    <xdr:clientData/>
  </xdr:twoCellAnchor>
  <xdr:twoCellAnchor>
    <xdr:from>
      <xdr:col>7</xdr:col>
      <xdr:colOff>152401</xdr:colOff>
      <xdr:row>4</xdr:row>
      <xdr:rowOff>390524</xdr:rowOff>
    </xdr:from>
    <xdr:to>
      <xdr:col>7</xdr:col>
      <xdr:colOff>666751</xdr:colOff>
      <xdr:row>5</xdr:row>
      <xdr:rowOff>333375</xdr:rowOff>
    </xdr:to>
    <xdr:sp macro="" textlink="">
      <xdr:nvSpPr>
        <xdr:cNvPr id="5" name="วงรี 4">
          <a:extLst>
            <a:ext uri="{FF2B5EF4-FFF2-40B4-BE49-F238E27FC236}">
              <a16:creationId xmlns:a16="http://schemas.microsoft.com/office/drawing/2014/main" id="{6D4F6EF9-11BE-A92E-6639-0898ACDAF075}"/>
            </a:ext>
          </a:extLst>
        </xdr:cNvPr>
        <xdr:cNvSpPr/>
      </xdr:nvSpPr>
      <xdr:spPr bwMode="auto">
        <a:xfrm>
          <a:off x="5867401" y="1428749"/>
          <a:ext cx="514350" cy="333376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3  </a:t>
          </a:r>
          <a:r>
            <a:rPr lang="en-US" sz="900">
              <a:solidFill>
                <a:schemeClr val="tx1"/>
              </a:solidFill>
            </a:rPr>
            <a:t>=  </a:t>
          </a:r>
          <a:endParaRPr lang="th-TH" sz="9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485775</xdr:colOff>
      <xdr:row>6</xdr:row>
      <xdr:rowOff>57150</xdr:rowOff>
    </xdr:from>
    <xdr:to>
      <xdr:col>7</xdr:col>
      <xdr:colOff>638174</xdr:colOff>
      <xdr:row>6</xdr:row>
      <xdr:rowOff>213324</xdr:rowOff>
    </xdr:to>
    <xdr:sp macro="" textlink="">
      <xdr:nvSpPr>
        <xdr:cNvPr id="6" name="วงรี 5">
          <a:extLst>
            <a:ext uri="{FF2B5EF4-FFF2-40B4-BE49-F238E27FC236}">
              <a16:creationId xmlns:a16="http://schemas.microsoft.com/office/drawing/2014/main" id="{88C315DC-0F12-5114-D4E8-5299B0A4DCCB}"/>
            </a:ext>
          </a:extLst>
        </xdr:cNvPr>
        <xdr:cNvSpPr/>
      </xdr:nvSpPr>
      <xdr:spPr bwMode="auto">
        <a:xfrm>
          <a:off x="6200775" y="2028825"/>
          <a:ext cx="152399" cy="156846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7</xdr:col>
      <xdr:colOff>314325</xdr:colOff>
      <xdr:row>6</xdr:row>
      <xdr:rowOff>123825</xdr:rowOff>
    </xdr:from>
    <xdr:to>
      <xdr:col>7</xdr:col>
      <xdr:colOff>447675</xdr:colOff>
      <xdr:row>6</xdr:row>
      <xdr:rowOff>200025</xdr:rowOff>
    </xdr:to>
    <xdr:sp macro="" textlink="">
      <xdr:nvSpPr>
        <xdr:cNvPr id="8" name="บวก 11">
          <a:extLst>
            <a:ext uri="{FF2B5EF4-FFF2-40B4-BE49-F238E27FC236}">
              <a16:creationId xmlns:a16="http://schemas.microsoft.com/office/drawing/2014/main" id="{73829AB3-17C7-4E38-FD0E-FAD74209E11E}"/>
            </a:ext>
          </a:extLst>
        </xdr:cNvPr>
        <xdr:cNvSpPr/>
      </xdr:nvSpPr>
      <xdr:spPr bwMode="auto">
        <a:xfrm>
          <a:off x="4543425" y="1447800"/>
          <a:ext cx="133350" cy="76200"/>
        </a:xfrm>
        <a:prstGeom prst="mathPlus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th-TH"/>
        </a:p>
      </xdr:txBody>
    </xdr:sp>
    <xdr:clientData/>
  </xdr:twoCellAnchor>
  <xdr:twoCellAnchor>
    <xdr:from>
      <xdr:col>11</xdr:col>
      <xdr:colOff>47625</xdr:colOff>
      <xdr:row>6</xdr:row>
      <xdr:rowOff>0</xdr:rowOff>
    </xdr:from>
    <xdr:to>
      <xdr:col>11</xdr:col>
      <xdr:colOff>200024</xdr:colOff>
      <xdr:row>6</xdr:row>
      <xdr:rowOff>156378</xdr:rowOff>
    </xdr:to>
    <xdr:sp macro="" textlink="">
      <xdr:nvSpPr>
        <xdr:cNvPr id="24" name="วงรี 23">
          <a:extLst>
            <a:ext uri="{FF2B5EF4-FFF2-40B4-BE49-F238E27FC236}">
              <a16:creationId xmlns:a16="http://schemas.microsoft.com/office/drawing/2014/main" id="{88E011F5-1FA5-114C-9A27-4187E81AF498}"/>
            </a:ext>
          </a:extLst>
        </xdr:cNvPr>
        <xdr:cNvSpPr/>
      </xdr:nvSpPr>
      <xdr:spPr bwMode="auto">
        <a:xfrm>
          <a:off x="8839200" y="1828800"/>
          <a:ext cx="152399" cy="156378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4</a:t>
          </a:r>
        </a:p>
      </xdr:txBody>
    </xdr:sp>
    <xdr:clientData/>
  </xdr:twoCellAnchor>
  <xdr:twoCellAnchor>
    <xdr:from>
      <xdr:col>11</xdr:col>
      <xdr:colOff>333375</xdr:colOff>
      <xdr:row>6</xdr:row>
      <xdr:rowOff>0</xdr:rowOff>
    </xdr:from>
    <xdr:to>
      <xdr:col>11</xdr:col>
      <xdr:colOff>485774</xdr:colOff>
      <xdr:row>6</xdr:row>
      <xdr:rowOff>156195</xdr:rowOff>
    </xdr:to>
    <xdr:sp macro="" textlink="">
      <xdr:nvSpPr>
        <xdr:cNvPr id="25" name="วงรี 24">
          <a:extLst>
            <a:ext uri="{FF2B5EF4-FFF2-40B4-BE49-F238E27FC236}">
              <a16:creationId xmlns:a16="http://schemas.microsoft.com/office/drawing/2014/main" id="{1CD0C8DE-EC54-FE4E-9E38-B833A51CC6BD}"/>
            </a:ext>
          </a:extLst>
        </xdr:cNvPr>
        <xdr:cNvSpPr/>
      </xdr:nvSpPr>
      <xdr:spPr bwMode="auto">
        <a:xfrm>
          <a:off x="9124950" y="1828800"/>
          <a:ext cx="152399" cy="157660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5</a:t>
          </a:r>
        </a:p>
      </xdr:txBody>
    </xdr:sp>
    <xdr:clientData/>
  </xdr:twoCellAnchor>
  <xdr:twoCellAnchor>
    <xdr:from>
      <xdr:col>11</xdr:col>
      <xdr:colOff>200025</xdr:colOff>
      <xdr:row>6</xdr:row>
      <xdr:rowOff>47625</xdr:rowOff>
    </xdr:from>
    <xdr:to>
      <xdr:col>11</xdr:col>
      <xdr:colOff>333375</xdr:colOff>
      <xdr:row>6</xdr:row>
      <xdr:rowOff>123825</xdr:rowOff>
    </xdr:to>
    <xdr:sp macro="" textlink="">
      <xdr:nvSpPr>
        <xdr:cNvPr id="26" name="บวก 11">
          <a:extLst>
            <a:ext uri="{FF2B5EF4-FFF2-40B4-BE49-F238E27FC236}">
              <a16:creationId xmlns:a16="http://schemas.microsoft.com/office/drawing/2014/main" id="{04EEDD21-7903-72C4-0B86-B3BA626EC179}"/>
            </a:ext>
          </a:extLst>
        </xdr:cNvPr>
        <xdr:cNvSpPr/>
      </xdr:nvSpPr>
      <xdr:spPr bwMode="auto">
        <a:xfrm>
          <a:off x="8991600" y="1876425"/>
          <a:ext cx="133350" cy="76200"/>
        </a:xfrm>
        <a:prstGeom prst="mathPlus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th-TH"/>
        </a:p>
      </xdr:txBody>
    </xdr:sp>
    <xdr:clientData/>
  </xdr:twoCellAnchor>
  <xdr:twoCellAnchor>
    <xdr:from>
      <xdr:col>7</xdr:col>
      <xdr:colOff>95250</xdr:colOff>
      <xdr:row>6</xdr:row>
      <xdr:rowOff>57150</xdr:rowOff>
    </xdr:from>
    <xdr:to>
      <xdr:col>7</xdr:col>
      <xdr:colOff>247649</xdr:colOff>
      <xdr:row>6</xdr:row>
      <xdr:rowOff>213338</xdr:rowOff>
    </xdr:to>
    <xdr:sp macro="" textlink="">
      <xdr:nvSpPr>
        <xdr:cNvPr id="27" name="วงรี 26">
          <a:extLst>
            <a:ext uri="{FF2B5EF4-FFF2-40B4-BE49-F238E27FC236}">
              <a16:creationId xmlns:a16="http://schemas.microsoft.com/office/drawing/2014/main" id="{7ECEB54E-5274-D99A-CB18-4F66B94F2372}"/>
            </a:ext>
          </a:extLst>
        </xdr:cNvPr>
        <xdr:cNvSpPr/>
      </xdr:nvSpPr>
      <xdr:spPr bwMode="auto">
        <a:xfrm>
          <a:off x="5810250" y="2028825"/>
          <a:ext cx="152399" cy="157711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1</a:t>
          </a:r>
        </a:p>
      </xdr:txBody>
    </xdr:sp>
    <xdr:clientData/>
  </xdr:twoCellAnchor>
  <xdr:twoCellAnchor>
    <xdr:from>
      <xdr:col>9</xdr:col>
      <xdr:colOff>247650</xdr:colOff>
      <xdr:row>6</xdr:row>
      <xdr:rowOff>38100</xdr:rowOff>
    </xdr:from>
    <xdr:to>
      <xdr:col>9</xdr:col>
      <xdr:colOff>400049</xdr:colOff>
      <xdr:row>6</xdr:row>
      <xdr:rowOff>196413</xdr:rowOff>
    </xdr:to>
    <xdr:sp macro="" textlink="">
      <xdr:nvSpPr>
        <xdr:cNvPr id="28" name="วงรี 27">
          <a:extLst>
            <a:ext uri="{FF2B5EF4-FFF2-40B4-BE49-F238E27FC236}">
              <a16:creationId xmlns:a16="http://schemas.microsoft.com/office/drawing/2014/main" id="{33D17397-1044-679F-68A3-BCC34F4B0758}"/>
            </a:ext>
          </a:extLst>
        </xdr:cNvPr>
        <xdr:cNvSpPr/>
      </xdr:nvSpPr>
      <xdr:spPr bwMode="auto">
        <a:xfrm>
          <a:off x="7553325" y="1866900"/>
          <a:ext cx="152399" cy="156843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5</a:t>
          </a:r>
        </a:p>
      </xdr:txBody>
    </xdr:sp>
    <xdr:clientData/>
  </xdr:twoCellAnchor>
  <xdr:twoCellAnchor>
    <xdr:from>
      <xdr:col>10</xdr:col>
      <xdr:colOff>323850</xdr:colOff>
      <xdr:row>6</xdr:row>
      <xdr:rowOff>47625</xdr:rowOff>
    </xdr:from>
    <xdr:to>
      <xdr:col>10</xdr:col>
      <xdr:colOff>476249</xdr:colOff>
      <xdr:row>6</xdr:row>
      <xdr:rowOff>203862</xdr:rowOff>
    </xdr:to>
    <xdr:sp macro="" textlink="">
      <xdr:nvSpPr>
        <xdr:cNvPr id="29" name="วงรี 28">
          <a:extLst>
            <a:ext uri="{FF2B5EF4-FFF2-40B4-BE49-F238E27FC236}">
              <a16:creationId xmlns:a16="http://schemas.microsoft.com/office/drawing/2014/main" id="{0D0727D2-BE82-5488-7A26-138E1A716CC6}"/>
            </a:ext>
          </a:extLst>
        </xdr:cNvPr>
        <xdr:cNvSpPr/>
      </xdr:nvSpPr>
      <xdr:spPr bwMode="auto">
        <a:xfrm>
          <a:off x="8305800" y="2019300"/>
          <a:ext cx="152399" cy="157912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6</a:t>
          </a:r>
        </a:p>
      </xdr:txBody>
    </xdr:sp>
    <xdr:clientData/>
  </xdr:twoCellAnchor>
  <xdr:twoCellAnchor>
    <xdr:from>
      <xdr:col>11</xdr:col>
      <xdr:colOff>123825</xdr:colOff>
      <xdr:row>5</xdr:row>
      <xdr:rowOff>0</xdr:rowOff>
    </xdr:from>
    <xdr:to>
      <xdr:col>11</xdr:col>
      <xdr:colOff>638175</xdr:colOff>
      <xdr:row>5</xdr:row>
      <xdr:rowOff>333376</xdr:rowOff>
    </xdr:to>
    <xdr:sp macro="" textlink="">
      <xdr:nvSpPr>
        <xdr:cNvPr id="31" name="วงรี 30">
          <a:extLst>
            <a:ext uri="{FF2B5EF4-FFF2-40B4-BE49-F238E27FC236}">
              <a16:creationId xmlns:a16="http://schemas.microsoft.com/office/drawing/2014/main" id="{799E4A5E-013C-B3F8-C7B0-B619D323EFBB}"/>
            </a:ext>
          </a:extLst>
        </xdr:cNvPr>
        <xdr:cNvSpPr/>
      </xdr:nvSpPr>
      <xdr:spPr bwMode="auto">
        <a:xfrm>
          <a:off x="8915400" y="1428750"/>
          <a:ext cx="514350" cy="333376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7  </a:t>
          </a:r>
          <a:r>
            <a:rPr lang="en-US" sz="900">
              <a:solidFill>
                <a:schemeClr val="tx1"/>
              </a:solidFill>
            </a:rPr>
            <a:t>=  </a:t>
          </a:r>
          <a:endParaRPr lang="th-TH" sz="9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581025</xdr:colOff>
      <xdr:row>6</xdr:row>
      <xdr:rowOff>19050</xdr:rowOff>
    </xdr:from>
    <xdr:to>
      <xdr:col>11</xdr:col>
      <xdr:colOff>733424</xdr:colOff>
      <xdr:row>6</xdr:row>
      <xdr:rowOff>177363</xdr:rowOff>
    </xdr:to>
    <xdr:sp macro="" textlink="">
      <xdr:nvSpPr>
        <xdr:cNvPr id="33" name="วงรี 32">
          <a:extLst>
            <a:ext uri="{FF2B5EF4-FFF2-40B4-BE49-F238E27FC236}">
              <a16:creationId xmlns:a16="http://schemas.microsoft.com/office/drawing/2014/main" id="{77550894-D31C-054F-558F-84312408F27B}"/>
            </a:ext>
          </a:extLst>
        </xdr:cNvPr>
        <xdr:cNvSpPr/>
      </xdr:nvSpPr>
      <xdr:spPr bwMode="auto">
        <a:xfrm>
          <a:off x="9372600" y="1847850"/>
          <a:ext cx="152399" cy="156843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6</a:t>
          </a:r>
        </a:p>
      </xdr:txBody>
    </xdr:sp>
    <xdr:clientData/>
  </xdr:twoCellAnchor>
  <xdr:twoCellAnchor>
    <xdr:from>
      <xdr:col>11</xdr:col>
      <xdr:colOff>476250</xdr:colOff>
      <xdr:row>6</xdr:row>
      <xdr:rowOff>47625</xdr:rowOff>
    </xdr:from>
    <xdr:to>
      <xdr:col>11</xdr:col>
      <xdr:colOff>609600</xdr:colOff>
      <xdr:row>6</xdr:row>
      <xdr:rowOff>123825</xdr:rowOff>
    </xdr:to>
    <xdr:sp macro="" textlink="">
      <xdr:nvSpPr>
        <xdr:cNvPr id="34" name="บวก 11">
          <a:extLst>
            <a:ext uri="{FF2B5EF4-FFF2-40B4-BE49-F238E27FC236}">
              <a16:creationId xmlns:a16="http://schemas.microsoft.com/office/drawing/2014/main" id="{4D080937-76B4-56E5-374F-09FA2E553C30}"/>
            </a:ext>
          </a:extLst>
        </xdr:cNvPr>
        <xdr:cNvSpPr/>
      </xdr:nvSpPr>
      <xdr:spPr bwMode="auto">
        <a:xfrm>
          <a:off x="9267825" y="1876425"/>
          <a:ext cx="133350" cy="76200"/>
        </a:xfrm>
        <a:prstGeom prst="mathPlus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th-TH"/>
        </a:p>
      </xdr:txBody>
    </xdr:sp>
    <xdr:clientData/>
  </xdr:twoCellAnchor>
  <xdr:twoCellAnchor>
    <xdr:from>
      <xdr:col>12</xdr:col>
      <xdr:colOff>142875</xdr:colOff>
      <xdr:row>5</xdr:row>
      <xdr:rowOff>0</xdr:rowOff>
    </xdr:from>
    <xdr:to>
      <xdr:col>12</xdr:col>
      <xdr:colOff>657225</xdr:colOff>
      <xdr:row>5</xdr:row>
      <xdr:rowOff>333376</xdr:rowOff>
    </xdr:to>
    <xdr:sp macro="" textlink="">
      <xdr:nvSpPr>
        <xdr:cNvPr id="18" name="วงรี 17">
          <a:extLst>
            <a:ext uri="{FF2B5EF4-FFF2-40B4-BE49-F238E27FC236}">
              <a16:creationId xmlns:a16="http://schemas.microsoft.com/office/drawing/2014/main" id="{973F2AFD-38FA-4867-AAEB-84BE93413350}"/>
            </a:ext>
          </a:extLst>
        </xdr:cNvPr>
        <xdr:cNvSpPr/>
      </xdr:nvSpPr>
      <xdr:spPr bwMode="auto">
        <a:xfrm>
          <a:off x="9829800" y="1571625"/>
          <a:ext cx="514350" cy="333376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8  </a:t>
          </a:r>
          <a:r>
            <a:rPr lang="en-US" sz="900">
              <a:solidFill>
                <a:schemeClr val="tx1"/>
              </a:solidFill>
            </a:rPr>
            <a:t>=  </a:t>
          </a:r>
          <a:endParaRPr lang="th-TH" sz="9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142875</xdr:colOff>
      <xdr:row>6</xdr:row>
      <xdr:rowOff>28575</xdr:rowOff>
    </xdr:from>
    <xdr:to>
      <xdr:col>12</xdr:col>
      <xdr:colOff>295274</xdr:colOff>
      <xdr:row>6</xdr:row>
      <xdr:rowOff>184953</xdr:rowOff>
    </xdr:to>
    <xdr:sp macro="" textlink="">
      <xdr:nvSpPr>
        <xdr:cNvPr id="19" name="วงรี 18">
          <a:extLst>
            <a:ext uri="{FF2B5EF4-FFF2-40B4-BE49-F238E27FC236}">
              <a16:creationId xmlns:a16="http://schemas.microsoft.com/office/drawing/2014/main" id="{CF14009D-A959-2B6B-44E6-A85E1ED7DDDC}"/>
            </a:ext>
          </a:extLst>
        </xdr:cNvPr>
        <xdr:cNvSpPr/>
      </xdr:nvSpPr>
      <xdr:spPr bwMode="auto">
        <a:xfrm>
          <a:off x="9829800" y="2000250"/>
          <a:ext cx="152399" cy="156378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3</a:t>
          </a:r>
        </a:p>
      </xdr:txBody>
    </xdr:sp>
    <xdr:clientData/>
  </xdr:twoCellAnchor>
  <xdr:twoCellAnchor>
    <xdr:from>
      <xdr:col>12</xdr:col>
      <xdr:colOff>495300</xdr:colOff>
      <xdr:row>6</xdr:row>
      <xdr:rowOff>38100</xdr:rowOff>
    </xdr:from>
    <xdr:to>
      <xdr:col>12</xdr:col>
      <xdr:colOff>647699</xdr:colOff>
      <xdr:row>6</xdr:row>
      <xdr:rowOff>194295</xdr:rowOff>
    </xdr:to>
    <xdr:sp macro="" textlink="">
      <xdr:nvSpPr>
        <xdr:cNvPr id="20" name="วงรี 19">
          <a:extLst>
            <a:ext uri="{FF2B5EF4-FFF2-40B4-BE49-F238E27FC236}">
              <a16:creationId xmlns:a16="http://schemas.microsoft.com/office/drawing/2014/main" id="{1A247A18-AA43-601D-1C48-72319342EB29}"/>
            </a:ext>
          </a:extLst>
        </xdr:cNvPr>
        <xdr:cNvSpPr/>
      </xdr:nvSpPr>
      <xdr:spPr bwMode="auto">
        <a:xfrm>
          <a:off x="10182225" y="2009775"/>
          <a:ext cx="152399" cy="156195"/>
        </a:xfrm>
        <a:prstGeom prst="ellipse">
          <a:avLst/>
        </a:pr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tx1"/>
              </a:solidFill>
            </a:rPr>
            <a:t>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200025</xdr:rowOff>
    </xdr:from>
    <xdr:to>
      <xdr:col>9</xdr:col>
      <xdr:colOff>438149</xdr:colOff>
      <xdr:row>12</xdr:row>
      <xdr:rowOff>57151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941E4DD1-6532-4D55-88AD-E93CFD1BB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152401</xdr:colOff>
      <xdr:row>15</xdr:row>
      <xdr:rowOff>66674</xdr:rowOff>
    </xdr:from>
    <xdr:to>
      <xdr:col>9</xdr:col>
      <xdr:colOff>361951</xdr:colOff>
      <xdr:row>35</xdr:row>
      <xdr:rowOff>228600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D13892EC-5D29-4ACC-8F69-57E027B06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4</xdr:row>
      <xdr:rowOff>266700</xdr:rowOff>
    </xdr:from>
    <xdr:to>
      <xdr:col>2</xdr:col>
      <xdr:colOff>457199</xdr:colOff>
      <xdr:row>5</xdr:row>
      <xdr:rowOff>109259</xdr:rowOff>
    </xdr:to>
    <xdr:sp macro="" textlink="">
      <xdr:nvSpPr>
        <xdr:cNvPr id="6" name="วงรี 5">
          <a:extLst>
            <a:ext uri="{FF2B5EF4-FFF2-40B4-BE49-F238E27FC236}">
              <a16:creationId xmlns:a16="http://schemas.microsoft.com/office/drawing/2014/main" id="{4AAAFE51-5D21-36B7-FDE7-DA6970ED85DB}"/>
            </a:ext>
          </a:extLst>
        </xdr:cNvPr>
        <xdr:cNvSpPr/>
      </xdr:nvSpPr>
      <xdr:spPr bwMode="auto">
        <a:xfrm>
          <a:off x="3038475" y="1571625"/>
          <a:ext cx="152399" cy="156884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bg1"/>
              </a:solidFill>
            </a:rPr>
            <a:t>2</a:t>
          </a:r>
        </a:p>
      </xdr:txBody>
    </xdr:sp>
    <xdr:clientData/>
  </xdr:twoCellAnchor>
  <xdr:twoCellAnchor>
    <xdr:from>
      <xdr:col>3</xdr:col>
      <xdr:colOff>200025</xdr:colOff>
      <xdr:row>4</xdr:row>
      <xdr:rowOff>276225</xdr:rowOff>
    </xdr:from>
    <xdr:to>
      <xdr:col>3</xdr:col>
      <xdr:colOff>352424</xdr:colOff>
      <xdr:row>5</xdr:row>
      <xdr:rowOff>118784</xdr:rowOff>
    </xdr:to>
    <xdr:sp macro="" textlink="">
      <xdr:nvSpPr>
        <xdr:cNvPr id="4" name="วงรี 3">
          <a:extLst>
            <a:ext uri="{FF2B5EF4-FFF2-40B4-BE49-F238E27FC236}">
              <a16:creationId xmlns:a16="http://schemas.microsoft.com/office/drawing/2014/main" id="{91927897-2F2C-AB47-7EB2-61C14A8FC33E}"/>
            </a:ext>
          </a:extLst>
        </xdr:cNvPr>
        <xdr:cNvSpPr/>
      </xdr:nvSpPr>
      <xdr:spPr bwMode="auto">
        <a:xfrm>
          <a:off x="3676650" y="1581150"/>
          <a:ext cx="152399" cy="156884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bg1"/>
              </a:solidFill>
            </a:rPr>
            <a:t>3</a:t>
          </a:r>
        </a:p>
      </xdr:txBody>
    </xdr:sp>
    <xdr:clientData/>
  </xdr:twoCellAnchor>
  <xdr:twoCellAnchor>
    <xdr:from>
      <xdr:col>1</xdr:col>
      <xdr:colOff>352425</xdr:colOff>
      <xdr:row>4</xdr:row>
      <xdr:rowOff>276225</xdr:rowOff>
    </xdr:from>
    <xdr:to>
      <xdr:col>1</xdr:col>
      <xdr:colOff>504824</xdr:colOff>
      <xdr:row>5</xdr:row>
      <xdr:rowOff>118513</xdr:rowOff>
    </xdr:to>
    <xdr:sp macro="" textlink="">
      <xdr:nvSpPr>
        <xdr:cNvPr id="5" name="วงรี 4">
          <a:extLst>
            <a:ext uri="{FF2B5EF4-FFF2-40B4-BE49-F238E27FC236}">
              <a16:creationId xmlns:a16="http://schemas.microsoft.com/office/drawing/2014/main" id="{D12CBA51-AE38-14AC-AC2A-CCF841E4E828}"/>
            </a:ext>
          </a:extLst>
        </xdr:cNvPr>
        <xdr:cNvSpPr/>
      </xdr:nvSpPr>
      <xdr:spPr bwMode="auto">
        <a:xfrm>
          <a:off x="2162175" y="1581150"/>
          <a:ext cx="152399" cy="156613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bg1"/>
              </a:solidFill>
            </a:rPr>
            <a:t>1</a:t>
          </a:r>
        </a:p>
      </xdr:txBody>
    </xdr:sp>
    <xdr:clientData/>
  </xdr:twoCellAnchor>
  <xdr:twoCellAnchor>
    <xdr:from>
      <xdr:col>4</xdr:col>
      <xdr:colOff>171451</xdr:colOff>
      <xdr:row>3</xdr:row>
      <xdr:rowOff>228599</xdr:rowOff>
    </xdr:from>
    <xdr:to>
      <xdr:col>4</xdr:col>
      <xdr:colOff>685801</xdr:colOff>
      <xdr:row>4</xdr:row>
      <xdr:rowOff>171450</xdr:rowOff>
    </xdr:to>
    <xdr:sp macro="" textlink="">
      <xdr:nvSpPr>
        <xdr:cNvPr id="7" name="วงรี 6">
          <a:extLst>
            <a:ext uri="{FF2B5EF4-FFF2-40B4-BE49-F238E27FC236}">
              <a16:creationId xmlns:a16="http://schemas.microsoft.com/office/drawing/2014/main" id="{2E7C68C5-8CDF-1EF9-6B14-CBA25613BCCD}"/>
            </a:ext>
          </a:extLst>
        </xdr:cNvPr>
        <xdr:cNvSpPr/>
      </xdr:nvSpPr>
      <xdr:spPr bwMode="auto">
        <a:xfrm>
          <a:off x="4448176" y="1000124"/>
          <a:ext cx="514350" cy="180976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4</a:t>
          </a:r>
          <a:r>
            <a:rPr lang="th-TH" sz="900">
              <a:solidFill>
                <a:schemeClr val="bg1"/>
              </a:solidFill>
            </a:rPr>
            <a:t>  </a:t>
          </a:r>
          <a:r>
            <a:rPr lang="en-US" sz="900">
              <a:solidFill>
                <a:schemeClr val="bg1"/>
              </a:solidFill>
            </a:rPr>
            <a:t>=  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152400</xdr:colOff>
      <xdr:row>4</xdr:row>
      <xdr:rowOff>200025</xdr:rowOff>
    </xdr:from>
    <xdr:to>
      <xdr:col>4</xdr:col>
      <xdr:colOff>304799</xdr:colOff>
      <xdr:row>5</xdr:row>
      <xdr:rowOff>42386</xdr:rowOff>
    </xdr:to>
    <xdr:sp macro="" textlink="">
      <xdr:nvSpPr>
        <xdr:cNvPr id="9" name="วงรี 8">
          <a:extLst>
            <a:ext uri="{FF2B5EF4-FFF2-40B4-BE49-F238E27FC236}">
              <a16:creationId xmlns:a16="http://schemas.microsoft.com/office/drawing/2014/main" id="{6024A503-ED64-269C-0DF2-6300953F60D0}"/>
            </a:ext>
          </a:extLst>
        </xdr:cNvPr>
        <xdr:cNvSpPr/>
      </xdr:nvSpPr>
      <xdr:spPr bwMode="auto">
        <a:xfrm>
          <a:off x="4295775" y="1504950"/>
          <a:ext cx="152399" cy="156686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bg1"/>
              </a:solidFill>
            </a:rPr>
            <a:t>2</a:t>
          </a:r>
        </a:p>
      </xdr:txBody>
    </xdr:sp>
    <xdr:clientData/>
  </xdr:twoCellAnchor>
  <xdr:twoCellAnchor>
    <xdr:from>
      <xdr:col>5</xdr:col>
      <xdr:colOff>171451</xdr:colOff>
      <xdr:row>3</xdr:row>
      <xdr:rowOff>228599</xdr:rowOff>
    </xdr:from>
    <xdr:to>
      <xdr:col>5</xdr:col>
      <xdr:colOff>685801</xdr:colOff>
      <xdr:row>4</xdr:row>
      <xdr:rowOff>171450</xdr:rowOff>
    </xdr:to>
    <xdr:sp macro="" textlink="">
      <xdr:nvSpPr>
        <xdr:cNvPr id="13" name="วงรี 12">
          <a:extLst>
            <a:ext uri="{FF2B5EF4-FFF2-40B4-BE49-F238E27FC236}">
              <a16:creationId xmlns:a16="http://schemas.microsoft.com/office/drawing/2014/main" id="{E03FBF5D-3329-E3A3-900A-5008BF96B0BD}"/>
            </a:ext>
          </a:extLst>
        </xdr:cNvPr>
        <xdr:cNvSpPr/>
      </xdr:nvSpPr>
      <xdr:spPr bwMode="auto">
        <a:xfrm>
          <a:off x="5124451" y="1085849"/>
          <a:ext cx="514350" cy="219076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5</a:t>
          </a:r>
          <a:r>
            <a:rPr lang="th-TH" sz="900">
              <a:solidFill>
                <a:schemeClr val="bg1"/>
              </a:solidFill>
            </a:rPr>
            <a:t>  </a:t>
          </a:r>
          <a:r>
            <a:rPr lang="en-US" sz="900">
              <a:solidFill>
                <a:schemeClr val="bg1"/>
              </a:solidFill>
            </a:rPr>
            <a:t>=  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152400</xdr:colOff>
      <xdr:row>4</xdr:row>
      <xdr:rowOff>200025</xdr:rowOff>
    </xdr:from>
    <xdr:to>
      <xdr:col>5</xdr:col>
      <xdr:colOff>304799</xdr:colOff>
      <xdr:row>5</xdr:row>
      <xdr:rowOff>42525</xdr:rowOff>
    </xdr:to>
    <xdr:sp macro="" textlink="">
      <xdr:nvSpPr>
        <xdr:cNvPr id="15" name="วงรี 14">
          <a:extLst>
            <a:ext uri="{FF2B5EF4-FFF2-40B4-BE49-F238E27FC236}">
              <a16:creationId xmlns:a16="http://schemas.microsoft.com/office/drawing/2014/main" id="{51771145-81CB-5BBE-7D0F-F3EC2A17A053}"/>
            </a:ext>
          </a:extLst>
        </xdr:cNvPr>
        <xdr:cNvSpPr/>
      </xdr:nvSpPr>
      <xdr:spPr bwMode="auto">
        <a:xfrm>
          <a:off x="5105400" y="1504950"/>
          <a:ext cx="152399" cy="156825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1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352424</xdr:colOff>
      <xdr:row>4</xdr:row>
      <xdr:rowOff>257175</xdr:rowOff>
    </xdr:from>
    <xdr:to>
      <xdr:col>5</xdr:col>
      <xdr:colOff>495299</xdr:colOff>
      <xdr:row>4</xdr:row>
      <xdr:rowOff>293750</xdr:rowOff>
    </xdr:to>
    <xdr:sp macro="" textlink="">
      <xdr:nvSpPr>
        <xdr:cNvPr id="17" name="ลบ 16">
          <a:extLst>
            <a:ext uri="{FF2B5EF4-FFF2-40B4-BE49-F238E27FC236}">
              <a16:creationId xmlns:a16="http://schemas.microsoft.com/office/drawing/2014/main" id="{18B60EE5-DE51-A37D-924E-95AB8B8DCCFE}"/>
            </a:ext>
          </a:extLst>
        </xdr:cNvPr>
        <xdr:cNvSpPr/>
      </xdr:nvSpPr>
      <xdr:spPr bwMode="auto">
        <a:xfrm>
          <a:off x="5305424" y="1562100"/>
          <a:ext cx="142875" cy="36575"/>
        </a:xfrm>
        <a:prstGeom prst="mathMinus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th-TH"/>
        </a:p>
      </xdr:txBody>
    </xdr:sp>
    <xdr:clientData/>
  </xdr:twoCellAnchor>
  <xdr:twoCellAnchor>
    <xdr:from>
      <xdr:col>5</xdr:col>
      <xdr:colOff>561975</xdr:colOff>
      <xdr:row>4</xdr:row>
      <xdr:rowOff>200025</xdr:rowOff>
    </xdr:from>
    <xdr:to>
      <xdr:col>5</xdr:col>
      <xdr:colOff>714370</xdr:colOff>
      <xdr:row>5</xdr:row>
      <xdr:rowOff>42525</xdr:rowOff>
    </xdr:to>
    <xdr:sp macro="" textlink="">
      <xdr:nvSpPr>
        <xdr:cNvPr id="19" name="วงรี 18">
          <a:extLst>
            <a:ext uri="{FF2B5EF4-FFF2-40B4-BE49-F238E27FC236}">
              <a16:creationId xmlns:a16="http://schemas.microsoft.com/office/drawing/2014/main" id="{AA3E8A6C-BA49-0449-48F5-631CFAFA1012}"/>
            </a:ext>
          </a:extLst>
        </xdr:cNvPr>
        <xdr:cNvSpPr/>
      </xdr:nvSpPr>
      <xdr:spPr bwMode="auto">
        <a:xfrm>
          <a:off x="5514975" y="1504950"/>
          <a:ext cx="152395" cy="156825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4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171450</xdr:colOff>
      <xdr:row>3</xdr:row>
      <xdr:rowOff>219075</xdr:rowOff>
    </xdr:from>
    <xdr:to>
      <xdr:col>6</xdr:col>
      <xdr:colOff>685800</xdr:colOff>
      <xdr:row>4</xdr:row>
      <xdr:rowOff>171451</xdr:rowOff>
    </xdr:to>
    <xdr:sp macro="" textlink="">
      <xdr:nvSpPr>
        <xdr:cNvPr id="16" name="วงรี 12">
          <a:extLst>
            <a:ext uri="{FF2B5EF4-FFF2-40B4-BE49-F238E27FC236}">
              <a16:creationId xmlns:a16="http://schemas.microsoft.com/office/drawing/2014/main" id="{474F0572-E38F-1E22-1B96-1EA77EAF12C4}"/>
            </a:ext>
          </a:extLst>
        </xdr:cNvPr>
        <xdr:cNvSpPr/>
      </xdr:nvSpPr>
      <xdr:spPr bwMode="auto">
        <a:xfrm>
          <a:off x="5724525" y="1104900"/>
          <a:ext cx="514350" cy="190501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6</a:t>
          </a:r>
          <a:r>
            <a:rPr lang="th-TH" sz="900">
              <a:solidFill>
                <a:schemeClr val="bg1"/>
              </a:solidFill>
            </a:rPr>
            <a:t>  </a:t>
          </a:r>
          <a:r>
            <a:rPr lang="en-US" sz="900">
              <a:solidFill>
                <a:schemeClr val="bg1"/>
              </a:solidFill>
            </a:rPr>
            <a:t>=  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85725</xdr:colOff>
      <xdr:row>4</xdr:row>
      <xdr:rowOff>200025</xdr:rowOff>
    </xdr:from>
    <xdr:to>
      <xdr:col>6</xdr:col>
      <xdr:colOff>238124</xdr:colOff>
      <xdr:row>5</xdr:row>
      <xdr:rowOff>42525</xdr:rowOff>
    </xdr:to>
    <xdr:sp macro="" textlink="">
      <xdr:nvSpPr>
        <xdr:cNvPr id="22" name="วงรี 14">
          <a:extLst>
            <a:ext uri="{FF2B5EF4-FFF2-40B4-BE49-F238E27FC236}">
              <a16:creationId xmlns:a16="http://schemas.microsoft.com/office/drawing/2014/main" id="{FEB98696-8BD2-5873-5B14-021BD50C7908}"/>
            </a:ext>
          </a:extLst>
        </xdr:cNvPr>
        <xdr:cNvSpPr/>
      </xdr:nvSpPr>
      <xdr:spPr bwMode="auto">
        <a:xfrm>
          <a:off x="5905500" y="1504950"/>
          <a:ext cx="152399" cy="156825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7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504825</xdr:colOff>
      <xdr:row>4</xdr:row>
      <xdr:rowOff>200025</xdr:rowOff>
    </xdr:from>
    <xdr:to>
      <xdr:col>6</xdr:col>
      <xdr:colOff>657224</xdr:colOff>
      <xdr:row>5</xdr:row>
      <xdr:rowOff>42804</xdr:rowOff>
    </xdr:to>
    <xdr:sp macro="" textlink="">
      <xdr:nvSpPr>
        <xdr:cNvPr id="23" name="วงรี 14">
          <a:extLst>
            <a:ext uri="{FF2B5EF4-FFF2-40B4-BE49-F238E27FC236}">
              <a16:creationId xmlns:a16="http://schemas.microsoft.com/office/drawing/2014/main" id="{A5721FE5-5A17-9B93-81A2-BAD458A8805E}"/>
            </a:ext>
          </a:extLst>
        </xdr:cNvPr>
        <xdr:cNvSpPr/>
      </xdr:nvSpPr>
      <xdr:spPr bwMode="auto">
        <a:xfrm>
          <a:off x="6324600" y="1504950"/>
          <a:ext cx="152399" cy="157104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8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266700</xdr:colOff>
      <xdr:row>4</xdr:row>
      <xdr:rowOff>295275</xdr:rowOff>
    </xdr:from>
    <xdr:to>
      <xdr:col>6</xdr:col>
      <xdr:colOff>400050</xdr:colOff>
      <xdr:row>5</xdr:row>
      <xdr:rowOff>57150</xdr:rowOff>
    </xdr:to>
    <xdr:sp macro="" textlink="">
      <xdr:nvSpPr>
        <xdr:cNvPr id="24" name="บวก 11">
          <a:extLst>
            <a:ext uri="{FF2B5EF4-FFF2-40B4-BE49-F238E27FC236}">
              <a16:creationId xmlns:a16="http://schemas.microsoft.com/office/drawing/2014/main" id="{7BCA572D-7560-D470-6C89-9FEA08FE6742}"/>
            </a:ext>
          </a:extLst>
        </xdr:cNvPr>
        <xdr:cNvSpPr/>
      </xdr:nvSpPr>
      <xdr:spPr bwMode="auto">
        <a:xfrm>
          <a:off x="6086475" y="1428750"/>
          <a:ext cx="133350" cy="76200"/>
        </a:xfrm>
        <a:prstGeom prst="mathPlus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th-TH"/>
        </a:p>
      </xdr:txBody>
    </xdr:sp>
    <xdr:clientData/>
  </xdr:twoCellAnchor>
  <xdr:twoCellAnchor>
    <xdr:from>
      <xdr:col>7</xdr:col>
      <xdr:colOff>285750</xdr:colOff>
      <xdr:row>4</xdr:row>
      <xdr:rowOff>161925</xdr:rowOff>
    </xdr:from>
    <xdr:to>
      <xdr:col>7</xdr:col>
      <xdr:colOff>438149</xdr:colOff>
      <xdr:row>5</xdr:row>
      <xdr:rowOff>5048</xdr:rowOff>
    </xdr:to>
    <xdr:sp macro="" textlink="">
      <xdr:nvSpPr>
        <xdr:cNvPr id="29" name="วงรี 14">
          <a:extLst>
            <a:ext uri="{FF2B5EF4-FFF2-40B4-BE49-F238E27FC236}">
              <a16:creationId xmlns:a16="http://schemas.microsoft.com/office/drawing/2014/main" id="{37D61947-CCDB-DA26-3190-B9A846F667F1}"/>
            </a:ext>
          </a:extLst>
        </xdr:cNvPr>
        <xdr:cNvSpPr/>
      </xdr:nvSpPr>
      <xdr:spPr bwMode="auto">
        <a:xfrm>
          <a:off x="6858000" y="1466850"/>
          <a:ext cx="152399" cy="157448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7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333375</xdr:colOff>
      <xdr:row>4</xdr:row>
      <xdr:rowOff>171450</xdr:rowOff>
    </xdr:from>
    <xdr:to>
      <xdr:col>8</xdr:col>
      <xdr:colOff>485774</xdr:colOff>
      <xdr:row>5</xdr:row>
      <xdr:rowOff>14573</xdr:rowOff>
    </xdr:to>
    <xdr:sp macro="" textlink="">
      <xdr:nvSpPr>
        <xdr:cNvPr id="30" name="วงรี 14">
          <a:extLst>
            <a:ext uri="{FF2B5EF4-FFF2-40B4-BE49-F238E27FC236}">
              <a16:creationId xmlns:a16="http://schemas.microsoft.com/office/drawing/2014/main" id="{F07ED2D1-C07D-A423-1530-C645C8AFDEF1}"/>
            </a:ext>
          </a:extLst>
        </xdr:cNvPr>
        <xdr:cNvSpPr/>
      </xdr:nvSpPr>
      <xdr:spPr bwMode="auto">
        <a:xfrm>
          <a:off x="7696200" y="1476375"/>
          <a:ext cx="152399" cy="157448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8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352425</xdr:colOff>
      <xdr:row>4</xdr:row>
      <xdr:rowOff>238125</xdr:rowOff>
    </xdr:from>
    <xdr:to>
      <xdr:col>4</xdr:col>
      <xdr:colOff>485775</xdr:colOff>
      <xdr:row>5</xdr:row>
      <xdr:rowOff>0</xdr:rowOff>
    </xdr:to>
    <xdr:sp macro="" textlink="">
      <xdr:nvSpPr>
        <xdr:cNvPr id="2" name="บวก 11">
          <a:extLst>
            <a:ext uri="{FF2B5EF4-FFF2-40B4-BE49-F238E27FC236}">
              <a16:creationId xmlns:a16="http://schemas.microsoft.com/office/drawing/2014/main" id="{A8992331-C348-4D9C-87C5-F439CCA0E4EF}"/>
            </a:ext>
          </a:extLst>
        </xdr:cNvPr>
        <xdr:cNvSpPr/>
      </xdr:nvSpPr>
      <xdr:spPr bwMode="auto">
        <a:xfrm>
          <a:off x="4495800" y="1543050"/>
          <a:ext cx="133350" cy="76200"/>
        </a:xfrm>
        <a:prstGeom prst="mathPlus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th-TH"/>
        </a:p>
      </xdr:txBody>
    </xdr:sp>
    <xdr:clientData/>
  </xdr:twoCellAnchor>
  <xdr:twoCellAnchor>
    <xdr:from>
      <xdr:col>4</xdr:col>
      <xdr:colOff>552450</xdr:colOff>
      <xdr:row>4</xdr:row>
      <xdr:rowOff>209550</xdr:rowOff>
    </xdr:from>
    <xdr:to>
      <xdr:col>4</xdr:col>
      <xdr:colOff>704849</xdr:colOff>
      <xdr:row>5</xdr:row>
      <xdr:rowOff>52109</xdr:rowOff>
    </xdr:to>
    <xdr:sp macro="" textlink="">
      <xdr:nvSpPr>
        <xdr:cNvPr id="10" name="วงรี 9">
          <a:extLst>
            <a:ext uri="{FF2B5EF4-FFF2-40B4-BE49-F238E27FC236}">
              <a16:creationId xmlns:a16="http://schemas.microsoft.com/office/drawing/2014/main" id="{8E78AFAC-1D93-4AAB-850A-2247D907A0D8}"/>
            </a:ext>
          </a:extLst>
        </xdr:cNvPr>
        <xdr:cNvSpPr/>
      </xdr:nvSpPr>
      <xdr:spPr bwMode="auto">
        <a:xfrm>
          <a:off x="4695825" y="1514475"/>
          <a:ext cx="152399" cy="156884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bg1"/>
              </a:solidFill>
            </a:rPr>
            <a:t>3</a:t>
          </a:r>
        </a:p>
      </xdr:txBody>
    </xdr:sp>
    <xdr:clientData/>
  </xdr:twoCellAnchor>
  <xdr:twoCellAnchor>
    <xdr:from>
      <xdr:col>12</xdr:col>
      <xdr:colOff>333374</xdr:colOff>
      <xdr:row>4</xdr:row>
      <xdr:rowOff>257175</xdr:rowOff>
    </xdr:from>
    <xdr:to>
      <xdr:col>12</xdr:col>
      <xdr:colOff>476249</xdr:colOff>
      <xdr:row>4</xdr:row>
      <xdr:rowOff>293750</xdr:rowOff>
    </xdr:to>
    <xdr:sp macro="" textlink="">
      <xdr:nvSpPr>
        <xdr:cNvPr id="14" name="ลบ 16">
          <a:extLst>
            <a:ext uri="{FF2B5EF4-FFF2-40B4-BE49-F238E27FC236}">
              <a16:creationId xmlns:a16="http://schemas.microsoft.com/office/drawing/2014/main" id="{0AF0B45A-93DA-4A12-9BF8-085F4498006E}"/>
            </a:ext>
          </a:extLst>
        </xdr:cNvPr>
        <xdr:cNvSpPr/>
      </xdr:nvSpPr>
      <xdr:spPr bwMode="auto">
        <a:xfrm>
          <a:off x="10553699" y="1390650"/>
          <a:ext cx="142875" cy="36575"/>
        </a:xfrm>
        <a:prstGeom prst="mathMinus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th-TH"/>
        </a:p>
      </xdr:txBody>
    </xdr:sp>
    <xdr:clientData/>
  </xdr:twoCellAnchor>
  <xdr:twoCellAnchor>
    <xdr:from>
      <xdr:col>12</xdr:col>
      <xdr:colOff>161925</xdr:colOff>
      <xdr:row>4</xdr:row>
      <xdr:rowOff>190500</xdr:rowOff>
    </xdr:from>
    <xdr:to>
      <xdr:col>12</xdr:col>
      <xdr:colOff>314320</xdr:colOff>
      <xdr:row>5</xdr:row>
      <xdr:rowOff>33000</xdr:rowOff>
    </xdr:to>
    <xdr:sp macro="" textlink="">
      <xdr:nvSpPr>
        <xdr:cNvPr id="18" name="วงรี 17">
          <a:extLst>
            <a:ext uri="{FF2B5EF4-FFF2-40B4-BE49-F238E27FC236}">
              <a16:creationId xmlns:a16="http://schemas.microsoft.com/office/drawing/2014/main" id="{EE0542BB-D9FD-4C44-BD5A-E1DCF3435DA8}"/>
            </a:ext>
          </a:extLst>
        </xdr:cNvPr>
        <xdr:cNvSpPr/>
      </xdr:nvSpPr>
      <xdr:spPr bwMode="auto">
        <a:xfrm>
          <a:off x="10382250" y="1323975"/>
          <a:ext cx="152395" cy="156825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4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457201</xdr:colOff>
      <xdr:row>4</xdr:row>
      <xdr:rowOff>190500</xdr:rowOff>
    </xdr:from>
    <xdr:to>
      <xdr:col>12</xdr:col>
      <xdr:colOff>609596</xdr:colOff>
      <xdr:row>5</xdr:row>
      <xdr:rowOff>33000</xdr:rowOff>
    </xdr:to>
    <xdr:sp macro="" textlink="">
      <xdr:nvSpPr>
        <xdr:cNvPr id="21" name="วงรี 20">
          <a:extLst>
            <a:ext uri="{FF2B5EF4-FFF2-40B4-BE49-F238E27FC236}">
              <a16:creationId xmlns:a16="http://schemas.microsoft.com/office/drawing/2014/main" id="{7308DEA1-C106-4283-A3D9-B5DA5D5A90EE}"/>
            </a:ext>
          </a:extLst>
        </xdr:cNvPr>
        <xdr:cNvSpPr/>
      </xdr:nvSpPr>
      <xdr:spPr bwMode="auto">
        <a:xfrm>
          <a:off x="10677526" y="1323975"/>
          <a:ext cx="152395" cy="156825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6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133350</xdr:colOff>
      <xdr:row>3</xdr:row>
      <xdr:rowOff>180975</xdr:rowOff>
    </xdr:from>
    <xdr:to>
      <xdr:col>12</xdr:col>
      <xdr:colOff>647700</xdr:colOff>
      <xdr:row>4</xdr:row>
      <xdr:rowOff>133351</xdr:rowOff>
    </xdr:to>
    <xdr:sp macro="" textlink="">
      <xdr:nvSpPr>
        <xdr:cNvPr id="3" name="วงรี 12">
          <a:extLst>
            <a:ext uri="{FF2B5EF4-FFF2-40B4-BE49-F238E27FC236}">
              <a16:creationId xmlns:a16="http://schemas.microsoft.com/office/drawing/2014/main" id="{85FC4027-81B0-46BF-8828-2F60EEAD72B3}"/>
            </a:ext>
          </a:extLst>
        </xdr:cNvPr>
        <xdr:cNvSpPr/>
      </xdr:nvSpPr>
      <xdr:spPr bwMode="auto">
        <a:xfrm>
          <a:off x="10353675" y="1038225"/>
          <a:ext cx="514350" cy="228601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9</a:t>
          </a:r>
          <a:r>
            <a:rPr lang="th-TH" sz="900">
              <a:solidFill>
                <a:schemeClr val="bg1"/>
              </a:solidFill>
            </a:rPr>
            <a:t>  </a:t>
          </a:r>
          <a:r>
            <a:rPr lang="en-US" sz="900">
              <a:solidFill>
                <a:schemeClr val="bg1"/>
              </a:solidFill>
            </a:rPr>
            <a:t>=  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4</xdr:row>
      <xdr:rowOff>266700</xdr:rowOff>
    </xdr:from>
    <xdr:to>
      <xdr:col>2</xdr:col>
      <xdr:colOff>457199</xdr:colOff>
      <xdr:row>5</xdr:row>
      <xdr:rowOff>109259</xdr:rowOff>
    </xdr:to>
    <xdr:sp macro="" textlink="">
      <xdr:nvSpPr>
        <xdr:cNvPr id="2" name="วงรี 1">
          <a:extLst>
            <a:ext uri="{FF2B5EF4-FFF2-40B4-BE49-F238E27FC236}">
              <a16:creationId xmlns:a16="http://schemas.microsoft.com/office/drawing/2014/main" id="{7923B681-541C-4518-9020-B4C31510BE6A}"/>
            </a:ext>
          </a:extLst>
        </xdr:cNvPr>
        <xdr:cNvSpPr/>
      </xdr:nvSpPr>
      <xdr:spPr bwMode="auto">
        <a:xfrm>
          <a:off x="3924300" y="1143000"/>
          <a:ext cx="152399" cy="156884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bg1"/>
              </a:solidFill>
            </a:rPr>
            <a:t>2</a:t>
          </a:r>
        </a:p>
      </xdr:txBody>
    </xdr:sp>
    <xdr:clientData/>
  </xdr:twoCellAnchor>
  <xdr:twoCellAnchor>
    <xdr:from>
      <xdr:col>3</xdr:col>
      <xdr:colOff>200025</xdr:colOff>
      <xdr:row>4</xdr:row>
      <xdr:rowOff>276225</xdr:rowOff>
    </xdr:from>
    <xdr:to>
      <xdr:col>3</xdr:col>
      <xdr:colOff>352424</xdr:colOff>
      <xdr:row>5</xdr:row>
      <xdr:rowOff>118784</xdr:rowOff>
    </xdr:to>
    <xdr:sp macro="" textlink="">
      <xdr:nvSpPr>
        <xdr:cNvPr id="3" name="วงรี 2">
          <a:extLst>
            <a:ext uri="{FF2B5EF4-FFF2-40B4-BE49-F238E27FC236}">
              <a16:creationId xmlns:a16="http://schemas.microsoft.com/office/drawing/2014/main" id="{77C3D4B5-2B18-4BF8-872A-9C93290BEF1C}"/>
            </a:ext>
          </a:extLst>
        </xdr:cNvPr>
        <xdr:cNvSpPr/>
      </xdr:nvSpPr>
      <xdr:spPr bwMode="auto">
        <a:xfrm>
          <a:off x="4572000" y="1152525"/>
          <a:ext cx="152399" cy="156884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bg1"/>
              </a:solidFill>
            </a:rPr>
            <a:t>3</a:t>
          </a:r>
        </a:p>
      </xdr:txBody>
    </xdr:sp>
    <xdr:clientData/>
  </xdr:twoCellAnchor>
  <xdr:twoCellAnchor>
    <xdr:from>
      <xdr:col>1</xdr:col>
      <xdr:colOff>352425</xdr:colOff>
      <xdr:row>4</xdr:row>
      <xdr:rowOff>276225</xdr:rowOff>
    </xdr:from>
    <xdr:to>
      <xdr:col>1</xdr:col>
      <xdr:colOff>504824</xdr:colOff>
      <xdr:row>5</xdr:row>
      <xdr:rowOff>118513</xdr:rowOff>
    </xdr:to>
    <xdr:sp macro="" textlink="">
      <xdr:nvSpPr>
        <xdr:cNvPr id="4" name="วงรี 3">
          <a:extLst>
            <a:ext uri="{FF2B5EF4-FFF2-40B4-BE49-F238E27FC236}">
              <a16:creationId xmlns:a16="http://schemas.microsoft.com/office/drawing/2014/main" id="{9B22CD00-1874-4947-A3C2-55CC12075399}"/>
            </a:ext>
          </a:extLst>
        </xdr:cNvPr>
        <xdr:cNvSpPr/>
      </xdr:nvSpPr>
      <xdr:spPr bwMode="auto">
        <a:xfrm>
          <a:off x="3114675" y="1152525"/>
          <a:ext cx="152399" cy="156613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bg1"/>
              </a:solidFill>
            </a:rPr>
            <a:t>1</a:t>
          </a:r>
        </a:p>
      </xdr:txBody>
    </xdr:sp>
    <xdr:clientData/>
  </xdr:twoCellAnchor>
  <xdr:twoCellAnchor>
    <xdr:from>
      <xdr:col>4</xdr:col>
      <xdr:colOff>171451</xdr:colOff>
      <xdr:row>3</xdr:row>
      <xdr:rowOff>228599</xdr:rowOff>
    </xdr:from>
    <xdr:to>
      <xdr:col>4</xdr:col>
      <xdr:colOff>685801</xdr:colOff>
      <xdr:row>4</xdr:row>
      <xdr:rowOff>171450</xdr:rowOff>
    </xdr:to>
    <xdr:sp macro="" textlink="">
      <xdr:nvSpPr>
        <xdr:cNvPr id="5" name="วงรี 4">
          <a:extLst>
            <a:ext uri="{FF2B5EF4-FFF2-40B4-BE49-F238E27FC236}">
              <a16:creationId xmlns:a16="http://schemas.microsoft.com/office/drawing/2014/main" id="{A278093D-05E1-4352-BCA3-7BE17BE79ADB}"/>
            </a:ext>
          </a:extLst>
        </xdr:cNvPr>
        <xdr:cNvSpPr/>
      </xdr:nvSpPr>
      <xdr:spPr bwMode="auto">
        <a:xfrm>
          <a:off x="5400676" y="866774"/>
          <a:ext cx="514350" cy="180976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4</a:t>
          </a:r>
          <a:r>
            <a:rPr lang="th-TH" sz="900">
              <a:solidFill>
                <a:schemeClr val="bg1"/>
              </a:solidFill>
            </a:rPr>
            <a:t>  </a:t>
          </a:r>
          <a:r>
            <a:rPr lang="en-US" sz="900">
              <a:solidFill>
                <a:schemeClr val="bg1"/>
              </a:solidFill>
            </a:rPr>
            <a:t>=  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152400</xdr:colOff>
      <xdr:row>4</xdr:row>
      <xdr:rowOff>200025</xdr:rowOff>
    </xdr:from>
    <xdr:to>
      <xdr:col>4</xdr:col>
      <xdr:colOff>304799</xdr:colOff>
      <xdr:row>5</xdr:row>
      <xdr:rowOff>42386</xdr:rowOff>
    </xdr:to>
    <xdr:sp macro="" textlink="">
      <xdr:nvSpPr>
        <xdr:cNvPr id="6" name="วงรี 5">
          <a:extLst>
            <a:ext uri="{FF2B5EF4-FFF2-40B4-BE49-F238E27FC236}">
              <a16:creationId xmlns:a16="http://schemas.microsoft.com/office/drawing/2014/main" id="{C3AFC02D-3928-4998-AD85-4656536BC740}"/>
            </a:ext>
          </a:extLst>
        </xdr:cNvPr>
        <xdr:cNvSpPr/>
      </xdr:nvSpPr>
      <xdr:spPr bwMode="auto">
        <a:xfrm>
          <a:off x="5381625" y="1076325"/>
          <a:ext cx="152399" cy="156686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bg1"/>
              </a:solidFill>
            </a:rPr>
            <a:t>2</a:t>
          </a:r>
        </a:p>
      </xdr:txBody>
    </xdr:sp>
    <xdr:clientData/>
  </xdr:twoCellAnchor>
  <xdr:twoCellAnchor>
    <xdr:from>
      <xdr:col>5</xdr:col>
      <xdr:colOff>171451</xdr:colOff>
      <xdr:row>3</xdr:row>
      <xdr:rowOff>228599</xdr:rowOff>
    </xdr:from>
    <xdr:to>
      <xdr:col>5</xdr:col>
      <xdr:colOff>685801</xdr:colOff>
      <xdr:row>4</xdr:row>
      <xdr:rowOff>171450</xdr:rowOff>
    </xdr:to>
    <xdr:sp macro="" textlink="">
      <xdr:nvSpPr>
        <xdr:cNvPr id="7" name="วงรี 6">
          <a:extLst>
            <a:ext uri="{FF2B5EF4-FFF2-40B4-BE49-F238E27FC236}">
              <a16:creationId xmlns:a16="http://schemas.microsoft.com/office/drawing/2014/main" id="{87BD6A7F-0A8E-4F8E-ADB4-051F913B7FF0}"/>
            </a:ext>
          </a:extLst>
        </xdr:cNvPr>
        <xdr:cNvSpPr/>
      </xdr:nvSpPr>
      <xdr:spPr bwMode="auto">
        <a:xfrm>
          <a:off x="6162676" y="866774"/>
          <a:ext cx="514350" cy="180976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5</a:t>
          </a:r>
          <a:r>
            <a:rPr lang="th-TH" sz="900">
              <a:solidFill>
                <a:schemeClr val="bg1"/>
              </a:solidFill>
            </a:rPr>
            <a:t>  </a:t>
          </a:r>
          <a:r>
            <a:rPr lang="en-US" sz="900">
              <a:solidFill>
                <a:schemeClr val="bg1"/>
              </a:solidFill>
            </a:rPr>
            <a:t>=  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152400</xdr:colOff>
      <xdr:row>4</xdr:row>
      <xdr:rowOff>200025</xdr:rowOff>
    </xdr:from>
    <xdr:to>
      <xdr:col>5</xdr:col>
      <xdr:colOff>304799</xdr:colOff>
      <xdr:row>5</xdr:row>
      <xdr:rowOff>42525</xdr:rowOff>
    </xdr:to>
    <xdr:sp macro="" textlink="">
      <xdr:nvSpPr>
        <xdr:cNvPr id="8" name="วงรี 7">
          <a:extLst>
            <a:ext uri="{FF2B5EF4-FFF2-40B4-BE49-F238E27FC236}">
              <a16:creationId xmlns:a16="http://schemas.microsoft.com/office/drawing/2014/main" id="{75997862-A7F6-41BC-9CFD-E573D2DAC410}"/>
            </a:ext>
          </a:extLst>
        </xdr:cNvPr>
        <xdr:cNvSpPr/>
      </xdr:nvSpPr>
      <xdr:spPr bwMode="auto">
        <a:xfrm>
          <a:off x="6143625" y="1076325"/>
          <a:ext cx="152399" cy="156825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1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352424</xdr:colOff>
      <xdr:row>4</xdr:row>
      <xdr:rowOff>257175</xdr:rowOff>
    </xdr:from>
    <xdr:to>
      <xdr:col>5</xdr:col>
      <xdr:colOff>495299</xdr:colOff>
      <xdr:row>4</xdr:row>
      <xdr:rowOff>293750</xdr:rowOff>
    </xdr:to>
    <xdr:sp macro="" textlink="">
      <xdr:nvSpPr>
        <xdr:cNvPr id="9" name="ลบ 16">
          <a:extLst>
            <a:ext uri="{FF2B5EF4-FFF2-40B4-BE49-F238E27FC236}">
              <a16:creationId xmlns:a16="http://schemas.microsoft.com/office/drawing/2014/main" id="{5327A1F8-2D40-4FD2-A639-0E3FE1AA3B02}"/>
            </a:ext>
          </a:extLst>
        </xdr:cNvPr>
        <xdr:cNvSpPr/>
      </xdr:nvSpPr>
      <xdr:spPr bwMode="auto">
        <a:xfrm>
          <a:off x="6343649" y="1133475"/>
          <a:ext cx="142875" cy="36575"/>
        </a:xfrm>
        <a:prstGeom prst="mathMinus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th-TH"/>
        </a:p>
      </xdr:txBody>
    </xdr:sp>
    <xdr:clientData/>
  </xdr:twoCellAnchor>
  <xdr:twoCellAnchor>
    <xdr:from>
      <xdr:col>5</xdr:col>
      <xdr:colOff>561975</xdr:colOff>
      <xdr:row>4</xdr:row>
      <xdr:rowOff>200025</xdr:rowOff>
    </xdr:from>
    <xdr:to>
      <xdr:col>5</xdr:col>
      <xdr:colOff>714370</xdr:colOff>
      <xdr:row>5</xdr:row>
      <xdr:rowOff>42525</xdr:rowOff>
    </xdr:to>
    <xdr:sp macro="" textlink="">
      <xdr:nvSpPr>
        <xdr:cNvPr id="10" name="วงรี 9">
          <a:extLst>
            <a:ext uri="{FF2B5EF4-FFF2-40B4-BE49-F238E27FC236}">
              <a16:creationId xmlns:a16="http://schemas.microsoft.com/office/drawing/2014/main" id="{C36F6FDE-B3E6-453E-A7B0-C34A19C82CD6}"/>
            </a:ext>
          </a:extLst>
        </xdr:cNvPr>
        <xdr:cNvSpPr/>
      </xdr:nvSpPr>
      <xdr:spPr bwMode="auto">
        <a:xfrm>
          <a:off x="6553200" y="1076325"/>
          <a:ext cx="152395" cy="156825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4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171450</xdr:colOff>
      <xdr:row>3</xdr:row>
      <xdr:rowOff>219075</xdr:rowOff>
    </xdr:from>
    <xdr:to>
      <xdr:col>6</xdr:col>
      <xdr:colOff>685800</xdr:colOff>
      <xdr:row>4</xdr:row>
      <xdr:rowOff>171451</xdr:rowOff>
    </xdr:to>
    <xdr:sp macro="" textlink="">
      <xdr:nvSpPr>
        <xdr:cNvPr id="11" name="วงรี 12">
          <a:extLst>
            <a:ext uri="{FF2B5EF4-FFF2-40B4-BE49-F238E27FC236}">
              <a16:creationId xmlns:a16="http://schemas.microsoft.com/office/drawing/2014/main" id="{B657A480-578B-4B74-9134-D72B37D66CCC}"/>
            </a:ext>
          </a:extLst>
        </xdr:cNvPr>
        <xdr:cNvSpPr/>
      </xdr:nvSpPr>
      <xdr:spPr bwMode="auto">
        <a:xfrm>
          <a:off x="6981825" y="857250"/>
          <a:ext cx="514350" cy="190501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6</a:t>
          </a:r>
          <a:r>
            <a:rPr lang="th-TH" sz="900">
              <a:solidFill>
                <a:schemeClr val="bg1"/>
              </a:solidFill>
            </a:rPr>
            <a:t>  </a:t>
          </a:r>
          <a:r>
            <a:rPr lang="en-US" sz="900">
              <a:solidFill>
                <a:schemeClr val="bg1"/>
              </a:solidFill>
            </a:rPr>
            <a:t>=  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85725</xdr:colOff>
      <xdr:row>4</xdr:row>
      <xdr:rowOff>200025</xdr:rowOff>
    </xdr:from>
    <xdr:to>
      <xdr:col>6</xdr:col>
      <xdr:colOff>238124</xdr:colOff>
      <xdr:row>5</xdr:row>
      <xdr:rowOff>42525</xdr:rowOff>
    </xdr:to>
    <xdr:sp macro="" textlink="">
      <xdr:nvSpPr>
        <xdr:cNvPr id="12" name="วงรี 14">
          <a:extLst>
            <a:ext uri="{FF2B5EF4-FFF2-40B4-BE49-F238E27FC236}">
              <a16:creationId xmlns:a16="http://schemas.microsoft.com/office/drawing/2014/main" id="{D8461D86-AFF3-4D20-A2B6-FA20B91B7752}"/>
            </a:ext>
          </a:extLst>
        </xdr:cNvPr>
        <xdr:cNvSpPr/>
      </xdr:nvSpPr>
      <xdr:spPr bwMode="auto">
        <a:xfrm>
          <a:off x="6896100" y="1076325"/>
          <a:ext cx="152399" cy="156825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7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504825</xdr:colOff>
      <xdr:row>4</xdr:row>
      <xdr:rowOff>200025</xdr:rowOff>
    </xdr:from>
    <xdr:to>
      <xdr:col>6</xdr:col>
      <xdr:colOff>657224</xdr:colOff>
      <xdr:row>5</xdr:row>
      <xdr:rowOff>42804</xdr:rowOff>
    </xdr:to>
    <xdr:sp macro="" textlink="">
      <xdr:nvSpPr>
        <xdr:cNvPr id="13" name="วงรี 14">
          <a:extLst>
            <a:ext uri="{FF2B5EF4-FFF2-40B4-BE49-F238E27FC236}">
              <a16:creationId xmlns:a16="http://schemas.microsoft.com/office/drawing/2014/main" id="{6AA05AC8-6BEF-4A35-A4D7-CC91BA69C13E}"/>
            </a:ext>
          </a:extLst>
        </xdr:cNvPr>
        <xdr:cNvSpPr/>
      </xdr:nvSpPr>
      <xdr:spPr bwMode="auto">
        <a:xfrm>
          <a:off x="7315200" y="1076325"/>
          <a:ext cx="152399" cy="157104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8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292677</xdr:colOff>
      <xdr:row>4</xdr:row>
      <xdr:rowOff>243321</xdr:rowOff>
    </xdr:from>
    <xdr:to>
      <xdr:col>6</xdr:col>
      <xdr:colOff>426027</xdr:colOff>
      <xdr:row>5</xdr:row>
      <xdr:rowOff>5196</xdr:rowOff>
    </xdr:to>
    <xdr:sp macro="" textlink="">
      <xdr:nvSpPr>
        <xdr:cNvPr id="14" name="บวก 11">
          <a:extLst>
            <a:ext uri="{FF2B5EF4-FFF2-40B4-BE49-F238E27FC236}">
              <a16:creationId xmlns:a16="http://schemas.microsoft.com/office/drawing/2014/main" id="{3660EDBE-4FC4-45A0-A6A9-F2DB97294169}"/>
            </a:ext>
          </a:extLst>
        </xdr:cNvPr>
        <xdr:cNvSpPr/>
      </xdr:nvSpPr>
      <xdr:spPr bwMode="auto">
        <a:xfrm>
          <a:off x="7107382" y="1135207"/>
          <a:ext cx="133350" cy="73603"/>
        </a:xfrm>
        <a:prstGeom prst="mathPlus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th-TH"/>
        </a:p>
      </xdr:txBody>
    </xdr:sp>
    <xdr:clientData/>
  </xdr:twoCellAnchor>
  <xdr:twoCellAnchor>
    <xdr:from>
      <xdr:col>7</xdr:col>
      <xdr:colOff>285750</xdr:colOff>
      <xdr:row>4</xdr:row>
      <xdr:rowOff>161925</xdr:rowOff>
    </xdr:from>
    <xdr:to>
      <xdr:col>7</xdr:col>
      <xdr:colOff>438149</xdr:colOff>
      <xdr:row>5</xdr:row>
      <xdr:rowOff>5048</xdr:rowOff>
    </xdr:to>
    <xdr:sp macro="" textlink="">
      <xdr:nvSpPr>
        <xdr:cNvPr id="15" name="วงรี 14">
          <a:extLst>
            <a:ext uri="{FF2B5EF4-FFF2-40B4-BE49-F238E27FC236}">
              <a16:creationId xmlns:a16="http://schemas.microsoft.com/office/drawing/2014/main" id="{F44B8C55-535F-4AC7-987D-E3C805D2B87E}"/>
            </a:ext>
          </a:extLst>
        </xdr:cNvPr>
        <xdr:cNvSpPr/>
      </xdr:nvSpPr>
      <xdr:spPr bwMode="auto">
        <a:xfrm>
          <a:off x="7839075" y="1038225"/>
          <a:ext cx="152399" cy="157448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7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333375</xdr:colOff>
      <xdr:row>4</xdr:row>
      <xdr:rowOff>171450</xdr:rowOff>
    </xdr:from>
    <xdr:to>
      <xdr:col>8</xdr:col>
      <xdr:colOff>485774</xdr:colOff>
      <xdr:row>5</xdr:row>
      <xdr:rowOff>14573</xdr:rowOff>
    </xdr:to>
    <xdr:sp macro="" textlink="">
      <xdr:nvSpPr>
        <xdr:cNvPr id="16" name="วงรี 14">
          <a:extLst>
            <a:ext uri="{FF2B5EF4-FFF2-40B4-BE49-F238E27FC236}">
              <a16:creationId xmlns:a16="http://schemas.microsoft.com/office/drawing/2014/main" id="{E238CF41-C917-45C4-99DE-97F98A1D9703}"/>
            </a:ext>
          </a:extLst>
        </xdr:cNvPr>
        <xdr:cNvSpPr/>
      </xdr:nvSpPr>
      <xdr:spPr bwMode="auto">
        <a:xfrm>
          <a:off x="8601075" y="1047750"/>
          <a:ext cx="152399" cy="157448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8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352425</xdr:colOff>
      <xdr:row>4</xdr:row>
      <xdr:rowOff>238125</xdr:rowOff>
    </xdr:from>
    <xdr:to>
      <xdr:col>4</xdr:col>
      <xdr:colOff>485775</xdr:colOff>
      <xdr:row>5</xdr:row>
      <xdr:rowOff>0</xdr:rowOff>
    </xdr:to>
    <xdr:sp macro="" textlink="">
      <xdr:nvSpPr>
        <xdr:cNvPr id="17" name="บวก 11">
          <a:extLst>
            <a:ext uri="{FF2B5EF4-FFF2-40B4-BE49-F238E27FC236}">
              <a16:creationId xmlns:a16="http://schemas.microsoft.com/office/drawing/2014/main" id="{2D77B251-30D8-4FF9-98B5-CCD7636A0E1D}"/>
            </a:ext>
          </a:extLst>
        </xdr:cNvPr>
        <xdr:cNvSpPr/>
      </xdr:nvSpPr>
      <xdr:spPr bwMode="auto">
        <a:xfrm>
          <a:off x="5581650" y="1114425"/>
          <a:ext cx="133350" cy="76200"/>
        </a:xfrm>
        <a:prstGeom prst="mathPlus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th-TH"/>
        </a:p>
      </xdr:txBody>
    </xdr:sp>
    <xdr:clientData/>
  </xdr:twoCellAnchor>
  <xdr:twoCellAnchor>
    <xdr:from>
      <xdr:col>4</xdr:col>
      <xdr:colOff>552450</xdr:colOff>
      <xdr:row>4</xdr:row>
      <xdr:rowOff>209550</xdr:rowOff>
    </xdr:from>
    <xdr:to>
      <xdr:col>4</xdr:col>
      <xdr:colOff>704849</xdr:colOff>
      <xdr:row>5</xdr:row>
      <xdr:rowOff>52109</xdr:rowOff>
    </xdr:to>
    <xdr:sp macro="" textlink="">
      <xdr:nvSpPr>
        <xdr:cNvPr id="18" name="วงรี 17">
          <a:extLst>
            <a:ext uri="{FF2B5EF4-FFF2-40B4-BE49-F238E27FC236}">
              <a16:creationId xmlns:a16="http://schemas.microsoft.com/office/drawing/2014/main" id="{7B270F56-D07C-4ECF-AEC1-EF0353CB7910}"/>
            </a:ext>
          </a:extLst>
        </xdr:cNvPr>
        <xdr:cNvSpPr/>
      </xdr:nvSpPr>
      <xdr:spPr bwMode="auto">
        <a:xfrm>
          <a:off x="5781675" y="1085850"/>
          <a:ext cx="152399" cy="156884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bg1"/>
              </a:solidFill>
            </a:rPr>
            <a:t>3</a:t>
          </a:r>
        </a:p>
      </xdr:txBody>
    </xdr:sp>
    <xdr:clientData/>
  </xdr:twoCellAnchor>
  <xdr:twoCellAnchor>
    <xdr:from>
      <xdr:col>12</xdr:col>
      <xdr:colOff>333374</xdr:colOff>
      <xdr:row>4</xdr:row>
      <xdr:rowOff>257175</xdr:rowOff>
    </xdr:from>
    <xdr:to>
      <xdr:col>12</xdr:col>
      <xdr:colOff>476249</xdr:colOff>
      <xdr:row>4</xdr:row>
      <xdr:rowOff>293750</xdr:rowOff>
    </xdr:to>
    <xdr:sp macro="" textlink="">
      <xdr:nvSpPr>
        <xdr:cNvPr id="19" name="ลบ 16">
          <a:extLst>
            <a:ext uri="{FF2B5EF4-FFF2-40B4-BE49-F238E27FC236}">
              <a16:creationId xmlns:a16="http://schemas.microsoft.com/office/drawing/2014/main" id="{35C524A4-BCF9-4785-B8CB-54BD605AA8D4}"/>
            </a:ext>
          </a:extLst>
        </xdr:cNvPr>
        <xdr:cNvSpPr/>
      </xdr:nvSpPr>
      <xdr:spPr bwMode="auto">
        <a:xfrm>
          <a:off x="10429874" y="1133475"/>
          <a:ext cx="142875" cy="36575"/>
        </a:xfrm>
        <a:prstGeom prst="mathMinus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th-TH"/>
        </a:p>
      </xdr:txBody>
    </xdr:sp>
    <xdr:clientData/>
  </xdr:twoCellAnchor>
  <xdr:twoCellAnchor>
    <xdr:from>
      <xdr:col>12</xdr:col>
      <xdr:colOff>180975</xdr:colOff>
      <xdr:row>4</xdr:row>
      <xdr:rowOff>190500</xdr:rowOff>
    </xdr:from>
    <xdr:to>
      <xdr:col>12</xdr:col>
      <xdr:colOff>333370</xdr:colOff>
      <xdr:row>5</xdr:row>
      <xdr:rowOff>33000</xdr:rowOff>
    </xdr:to>
    <xdr:sp macro="" textlink="">
      <xdr:nvSpPr>
        <xdr:cNvPr id="20" name="วงรี 19">
          <a:extLst>
            <a:ext uri="{FF2B5EF4-FFF2-40B4-BE49-F238E27FC236}">
              <a16:creationId xmlns:a16="http://schemas.microsoft.com/office/drawing/2014/main" id="{AE5096A4-D8D9-4E17-B755-A5700773A472}"/>
            </a:ext>
          </a:extLst>
        </xdr:cNvPr>
        <xdr:cNvSpPr/>
      </xdr:nvSpPr>
      <xdr:spPr bwMode="auto">
        <a:xfrm>
          <a:off x="10277475" y="1066800"/>
          <a:ext cx="152395" cy="156825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5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457201</xdr:colOff>
      <xdr:row>4</xdr:row>
      <xdr:rowOff>190500</xdr:rowOff>
    </xdr:from>
    <xdr:to>
      <xdr:col>12</xdr:col>
      <xdr:colOff>609596</xdr:colOff>
      <xdr:row>5</xdr:row>
      <xdr:rowOff>33000</xdr:rowOff>
    </xdr:to>
    <xdr:sp macro="" textlink="">
      <xdr:nvSpPr>
        <xdr:cNvPr id="21" name="วงรี 20">
          <a:extLst>
            <a:ext uri="{FF2B5EF4-FFF2-40B4-BE49-F238E27FC236}">
              <a16:creationId xmlns:a16="http://schemas.microsoft.com/office/drawing/2014/main" id="{2928BCD1-E8F4-46BA-85CB-B831C5EB6E35}"/>
            </a:ext>
          </a:extLst>
        </xdr:cNvPr>
        <xdr:cNvSpPr/>
      </xdr:nvSpPr>
      <xdr:spPr bwMode="auto">
        <a:xfrm>
          <a:off x="10553701" y="1066800"/>
          <a:ext cx="152395" cy="156825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6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133350</xdr:colOff>
      <xdr:row>3</xdr:row>
      <xdr:rowOff>180975</xdr:rowOff>
    </xdr:from>
    <xdr:to>
      <xdr:col>12</xdr:col>
      <xdr:colOff>647700</xdr:colOff>
      <xdr:row>4</xdr:row>
      <xdr:rowOff>133351</xdr:rowOff>
    </xdr:to>
    <xdr:sp macro="" textlink="">
      <xdr:nvSpPr>
        <xdr:cNvPr id="22" name="วงรี 12">
          <a:extLst>
            <a:ext uri="{FF2B5EF4-FFF2-40B4-BE49-F238E27FC236}">
              <a16:creationId xmlns:a16="http://schemas.microsoft.com/office/drawing/2014/main" id="{86DA54A0-909D-4685-B343-A3FF1EA34784}"/>
            </a:ext>
          </a:extLst>
        </xdr:cNvPr>
        <xdr:cNvSpPr/>
      </xdr:nvSpPr>
      <xdr:spPr bwMode="auto">
        <a:xfrm>
          <a:off x="10229850" y="819150"/>
          <a:ext cx="514350" cy="190501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9</a:t>
          </a:r>
          <a:r>
            <a:rPr lang="th-TH" sz="900">
              <a:solidFill>
                <a:schemeClr val="bg1"/>
              </a:solidFill>
            </a:rPr>
            <a:t>  </a:t>
          </a:r>
          <a:r>
            <a:rPr lang="en-US" sz="900">
              <a:solidFill>
                <a:schemeClr val="bg1"/>
              </a:solidFill>
            </a:rPr>
            <a:t>=  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4</xdr:row>
      <xdr:rowOff>295275</xdr:rowOff>
    </xdr:from>
    <xdr:to>
      <xdr:col>2</xdr:col>
      <xdr:colOff>504824</xdr:colOff>
      <xdr:row>5</xdr:row>
      <xdr:rowOff>137834</xdr:rowOff>
    </xdr:to>
    <xdr:sp macro="" textlink="">
      <xdr:nvSpPr>
        <xdr:cNvPr id="2" name="วงรี 1">
          <a:extLst>
            <a:ext uri="{FF2B5EF4-FFF2-40B4-BE49-F238E27FC236}">
              <a16:creationId xmlns:a16="http://schemas.microsoft.com/office/drawing/2014/main" id="{5342F7A6-03F6-40D3-A1C9-2A6197060722}"/>
            </a:ext>
          </a:extLst>
        </xdr:cNvPr>
        <xdr:cNvSpPr/>
      </xdr:nvSpPr>
      <xdr:spPr bwMode="auto">
        <a:xfrm>
          <a:off x="3971925" y="1333500"/>
          <a:ext cx="152399" cy="156884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bg1"/>
              </a:solidFill>
            </a:rPr>
            <a:t>2</a:t>
          </a:r>
        </a:p>
      </xdr:txBody>
    </xdr:sp>
    <xdr:clientData/>
  </xdr:twoCellAnchor>
  <xdr:twoCellAnchor>
    <xdr:from>
      <xdr:col>3</xdr:col>
      <xdr:colOff>352425</xdr:colOff>
      <xdr:row>4</xdr:row>
      <xdr:rowOff>276225</xdr:rowOff>
    </xdr:from>
    <xdr:to>
      <xdr:col>3</xdr:col>
      <xdr:colOff>504824</xdr:colOff>
      <xdr:row>5</xdr:row>
      <xdr:rowOff>118784</xdr:rowOff>
    </xdr:to>
    <xdr:sp macro="" textlink="">
      <xdr:nvSpPr>
        <xdr:cNvPr id="3" name="วงรี 2">
          <a:extLst>
            <a:ext uri="{FF2B5EF4-FFF2-40B4-BE49-F238E27FC236}">
              <a16:creationId xmlns:a16="http://schemas.microsoft.com/office/drawing/2014/main" id="{779833EC-7062-4B9E-BB8C-7A55D4D49FF5}"/>
            </a:ext>
          </a:extLst>
        </xdr:cNvPr>
        <xdr:cNvSpPr/>
      </xdr:nvSpPr>
      <xdr:spPr bwMode="auto">
        <a:xfrm>
          <a:off x="4829175" y="1314450"/>
          <a:ext cx="152399" cy="156884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bg1"/>
              </a:solidFill>
            </a:rPr>
            <a:t>3</a:t>
          </a:r>
        </a:p>
      </xdr:txBody>
    </xdr:sp>
    <xdr:clientData/>
  </xdr:twoCellAnchor>
  <xdr:twoCellAnchor>
    <xdr:from>
      <xdr:col>1</xdr:col>
      <xdr:colOff>352425</xdr:colOff>
      <xdr:row>4</xdr:row>
      <xdr:rowOff>276225</xdr:rowOff>
    </xdr:from>
    <xdr:to>
      <xdr:col>1</xdr:col>
      <xdr:colOff>504824</xdr:colOff>
      <xdr:row>5</xdr:row>
      <xdr:rowOff>118513</xdr:rowOff>
    </xdr:to>
    <xdr:sp macro="" textlink="">
      <xdr:nvSpPr>
        <xdr:cNvPr id="4" name="วงรี 3">
          <a:extLst>
            <a:ext uri="{FF2B5EF4-FFF2-40B4-BE49-F238E27FC236}">
              <a16:creationId xmlns:a16="http://schemas.microsoft.com/office/drawing/2014/main" id="{A78F7E22-33FE-45EA-AA1F-8FC9F5AAA1E3}"/>
            </a:ext>
          </a:extLst>
        </xdr:cNvPr>
        <xdr:cNvSpPr/>
      </xdr:nvSpPr>
      <xdr:spPr bwMode="auto">
        <a:xfrm>
          <a:off x="3114675" y="1152525"/>
          <a:ext cx="152399" cy="156613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bg1"/>
              </a:solidFill>
            </a:rPr>
            <a:t>1</a:t>
          </a:r>
        </a:p>
      </xdr:txBody>
    </xdr:sp>
    <xdr:clientData/>
  </xdr:twoCellAnchor>
  <xdr:twoCellAnchor>
    <xdr:from>
      <xdr:col>4</xdr:col>
      <xdr:colOff>171451</xdr:colOff>
      <xdr:row>3</xdr:row>
      <xdr:rowOff>228599</xdr:rowOff>
    </xdr:from>
    <xdr:to>
      <xdr:col>4</xdr:col>
      <xdr:colOff>685801</xdr:colOff>
      <xdr:row>4</xdr:row>
      <xdr:rowOff>171450</xdr:rowOff>
    </xdr:to>
    <xdr:sp macro="" textlink="">
      <xdr:nvSpPr>
        <xdr:cNvPr id="5" name="วงรี 4">
          <a:extLst>
            <a:ext uri="{FF2B5EF4-FFF2-40B4-BE49-F238E27FC236}">
              <a16:creationId xmlns:a16="http://schemas.microsoft.com/office/drawing/2014/main" id="{9F92E417-F035-407F-A36A-F0D3F2BDCEAE}"/>
            </a:ext>
          </a:extLst>
        </xdr:cNvPr>
        <xdr:cNvSpPr/>
      </xdr:nvSpPr>
      <xdr:spPr bwMode="auto">
        <a:xfrm>
          <a:off x="5400676" y="866774"/>
          <a:ext cx="514350" cy="180976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4</a:t>
          </a:r>
          <a:r>
            <a:rPr lang="th-TH" sz="900">
              <a:solidFill>
                <a:schemeClr val="bg1"/>
              </a:solidFill>
            </a:rPr>
            <a:t>  </a:t>
          </a:r>
          <a:r>
            <a:rPr lang="en-US" sz="900">
              <a:solidFill>
                <a:schemeClr val="bg1"/>
              </a:solidFill>
            </a:rPr>
            <a:t>=  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152400</xdr:colOff>
      <xdr:row>4</xdr:row>
      <xdr:rowOff>200025</xdr:rowOff>
    </xdr:from>
    <xdr:to>
      <xdr:col>4</xdr:col>
      <xdr:colOff>304799</xdr:colOff>
      <xdr:row>5</xdr:row>
      <xdr:rowOff>42386</xdr:rowOff>
    </xdr:to>
    <xdr:sp macro="" textlink="">
      <xdr:nvSpPr>
        <xdr:cNvPr id="6" name="วงรี 5">
          <a:extLst>
            <a:ext uri="{FF2B5EF4-FFF2-40B4-BE49-F238E27FC236}">
              <a16:creationId xmlns:a16="http://schemas.microsoft.com/office/drawing/2014/main" id="{C3F859FE-75C9-427E-9499-647B1B7E2779}"/>
            </a:ext>
          </a:extLst>
        </xdr:cNvPr>
        <xdr:cNvSpPr/>
      </xdr:nvSpPr>
      <xdr:spPr bwMode="auto">
        <a:xfrm>
          <a:off x="5381625" y="1076325"/>
          <a:ext cx="152399" cy="156686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bg1"/>
              </a:solidFill>
            </a:rPr>
            <a:t>2</a:t>
          </a:r>
        </a:p>
      </xdr:txBody>
    </xdr:sp>
    <xdr:clientData/>
  </xdr:twoCellAnchor>
  <xdr:twoCellAnchor>
    <xdr:from>
      <xdr:col>5</xdr:col>
      <xdr:colOff>171451</xdr:colOff>
      <xdr:row>3</xdr:row>
      <xdr:rowOff>228599</xdr:rowOff>
    </xdr:from>
    <xdr:to>
      <xdr:col>5</xdr:col>
      <xdr:colOff>685801</xdr:colOff>
      <xdr:row>4</xdr:row>
      <xdr:rowOff>171450</xdr:rowOff>
    </xdr:to>
    <xdr:sp macro="" textlink="">
      <xdr:nvSpPr>
        <xdr:cNvPr id="7" name="วงรี 6">
          <a:extLst>
            <a:ext uri="{FF2B5EF4-FFF2-40B4-BE49-F238E27FC236}">
              <a16:creationId xmlns:a16="http://schemas.microsoft.com/office/drawing/2014/main" id="{4FA7A72B-6899-4CA5-AA9D-3C058850FA4D}"/>
            </a:ext>
          </a:extLst>
        </xdr:cNvPr>
        <xdr:cNvSpPr/>
      </xdr:nvSpPr>
      <xdr:spPr bwMode="auto">
        <a:xfrm>
          <a:off x="6162676" y="866774"/>
          <a:ext cx="514350" cy="180976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5</a:t>
          </a:r>
          <a:r>
            <a:rPr lang="th-TH" sz="900">
              <a:solidFill>
                <a:schemeClr val="bg1"/>
              </a:solidFill>
            </a:rPr>
            <a:t>  </a:t>
          </a:r>
          <a:r>
            <a:rPr lang="en-US" sz="900">
              <a:solidFill>
                <a:schemeClr val="bg1"/>
              </a:solidFill>
            </a:rPr>
            <a:t>=  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152400</xdr:colOff>
      <xdr:row>4</xdr:row>
      <xdr:rowOff>200025</xdr:rowOff>
    </xdr:from>
    <xdr:to>
      <xdr:col>5</xdr:col>
      <xdr:colOff>304799</xdr:colOff>
      <xdr:row>5</xdr:row>
      <xdr:rowOff>42525</xdr:rowOff>
    </xdr:to>
    <xdr:sp macro="" textlink="">
      <xdr:nvSpPr>
        <xdr:cNvPr id="8" name="วงรี 7">
          <a:extLst>
            <a:ext uri="{FF2B5EF4-FFF2-40B4-BE49-F238E27FC236}">
              <a16:creationId xmlns:a16="http://schemas.microsoft.com/office/drawing/2014/main" id="{EAF9BC99-5E90-450E-87AE-BAFC4AEB9D4E}"/>
            </a:ext>
          </a:extLst>
        </xdr:cNvPr>
        <xdr:cNvSpPr/>
      </xdr:nvSpPr>
      <xdr:spPr bwMode="auto">
        <a:xfrm>
          <a:off x="6143625" y="1076325"/>
          <a:ext cx="152399" cy="156825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1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371474</xdr:colOff>
      <xdr:row>4</xdr:row>
      <xdr:rowOff>276225</xdr:rowOff>
    </xdr:from>
    <xdr:to>
      <xdr:col>5</xdr:col>
      <xdr:colOff>514349</xdr:colOff>
      <xdr:row>4</xdr:row>
      <xdr:rowOff>312800</xdr:rowOff>
    </xdr:to>
    <xdr:sp macro="" textlink="">
      <xdr:nvSpPr>
        <xdr:cNvPr id="9" name="ลบ 16">
          <a:extLst>
            <a:ext uri="{FF2B5EF4-FFF2-40B4-BE49-F238E27FC236}">
              <a16:creationId xmlns:a16="http://schemas.microsoft.com/office/drawing/2014/main" id="{AA933D78-D2A7-4F16-BFF8-9503DB17C268}"/>
            </a:ext>
          </a:extLst>
        </xdr:cNvPr>
        <xdr:cNvSpPr/>
      </xdr:nvSpPr>
      <xdr:spPr bwMode="auto">
        <a:xfrm>
          <a:off x="6467474" y="1314450"/>
          <a:ext cx="142875" cy="36575"/>
        </a:xfrm>
        <a:prstGeom prst="mathMinus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th-TH"/>
        </a:p>
      </xdr:txBody>
    </xdr:sp>
    <xdr:clientData/>
  </xdr:twoCellAnchor>
  <xdr:twoCellAnchor>
    <xdr:from>
      <xdr:col>5</xdr:col>
      <xdr:colOff>561975</xdr:colOff>
      <xdr:row>4</xdr:row>
      <xdr:rowOff>200025</xdr:rowOff>
    </xdr:from>
    <xdr:to>
      <xdr:col>5</xdr:col>
      <xdr:colOff>714370</xdr:colOff>
      <xdr:row>5</xdr:row>
      <xdr:rowOff>42525</xdr:rowOff>
    </xdr:to>
    <xdr:sp macro="" textlink="">
      <xdr:nvSpPr>
        <xdr:cNvPr id="10" name="วงรี 9">
          <a:extLst>
            <a:ext uri="{FF2B5EF4-FFF2-40B4-BE49-F238E27FC236}">
              <a16:creationId xmlns:a16="http://schemas.microsoft.com/office/drawing/2014/main" id="{99C473FB-178C-4FED-B3B9-184313257499}"/>
            </a:ext>
          </a:extLst>
        </xdr:cNvPr>
        <xdr:cNvSpPr/>
      </xdr:nvSpPr>
      <xdr:spPr bwMode="auto">
        <a:xfrm>
          <a:off x="6553200" y="1076325"/>
          <a:ext cx="152395" cy="156825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4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171450</xdr:colOff>
      <xdr:row>3</xdr:row>
      <xdr:rowOff>219075</xdr:rowOff>
    </xdr:from>
    <xdr:to>
      <xdr:col>6</xdr:col>
      <xdr:colOff>685800</xdr:colOff>
      <xdr:row>4</xdr:row>
      <xdr:rowOff>171451</xdr:rowOff>
    </xdr:to>
    <xdr:sp macro="" textlink="">
      <xdr:nvSpPr>
        <xdr:cNvPr id="11" name="วงรี 12">
          <a:extLst>
            <a:ext uri="{FF2B5EF4-FFF2-40B4-BE49-F238E27FC236}">
              <a16:creationId xmlns:a16="http://schemas.microsoft.com/office/drawing/2014/main" id="{84635135-9848-4151-9A7A-D6EC6256C883}"/>
            </a:ext>
          </a:extLst>
        </xdr:cNvPr>
        <xdr:cNvSpPr/>
      </xdr:nvSpPr>
      <xdr:spPr bwMode="auto">
        <a:xfrm>
          <a:off x="6981825" y="857250"/>
          <a:ext cx="514350" cy="190501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6</a:t>
          </a:r>
          <a:r>
            <a:rPr lang="th-TH" sz="900">
              <a:solidFill>
                <a:schemeClr val="bg1"/>
              </a:solidFill>
            </a:rPr>
            <a:t>  </a:t>
          </a:r>
          <a:r>
            <a:rPr lang="en-US" sz="900">
              <a:solidFill>
                <a:schemeClr val="bg1"/>
              </a:solidFill>
            </a:rPr>
            <a:t>=  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85725</xdr:colOff>
      <xdr:row>4</xdr:row>
      <xdr:rowOff>200025</xdr:rowOff>
    </xdr:from>
    <xdr:to>
      <xdr:col>6</xdr:col>
      <xdr:colOff>238124</xdr:colOff>
      <xdr:row>5</xdr:row>
      <xdr:rowOff>42525</xdr:rowOff>
    </xdr:to>
    <xdr:sp macro="" textlink="">
      <xdr:nvSpPr>
        <xdr:cNvPr id="12" name="วงรี 14">
          <a:extLst>
            <a:ext uri="{FF2B5EF4-FFF2-40B4-BE49-F238E27FC236}">
              <a16:creationId xmlns:a16="http://schemas.microsoft.com/office/drawing/2014/main" id="{5505BA40-E3D8-41A2-8460-BA9A45BFFFEA}"/>
            </a:ext>
          </a:extLst>
        </xdr:cNvPr>
        <xdr:cNvSpPr/>
      </xdr:nvSpPr>
      <xdr:spPr bwMode="auto">
        <a:xfrm>
          <a:off x="6896100" y="1076325"/>
          <a:ext cx="152399" cy="156825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7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504825</xdr:colOff>
      <xdr:row>4</xdr:row>
      <xdr:rowOff>200025</xdr:rowOff>
    </xdr:from>
    <xdr:to>
      <xdr:col>6</xdr:col>
      <xdr:colOff>657224</xdr:colOff>
      <xdr:row>5</xdr:row>
      <xdr:rowOff>42804</xdr:rowOff>
    </xdr:to>
    <xdr:sp macro="" textlink="">
      <xdr:nvSpPr>
        <xdr:cNvPr id="13" name="วงรี 14">
          <a:extLst>
            <a:ext uri="{FF2B5EF4-FFF2-40B4-BE49-F238E27FC236}">
              <a16:creationId xmlns:a16="http://schemas.microsoft.com/office/drawing/2014/main" id="{D5ADAA34-0384-4C72-AD2A-552DBA4AFCC8}"/>
            </a:ext>
          </a:extLst>
        </xdr:cNvPr>
        <xdr:cNvSpPr/>
      </xdr:nvSpPr>
      <xdr:spPr bwMode="auto">
        <a:xfrm>
          <a:off x="7315200" y="1076325"/>
          <a:ext cx="152399" cy="157104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8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292677</xdr:colOff>
      <xdr:row>4</xdr:row>
      <xdr:rowOff>243321</xdr:rowOff>
    </xdr:from>
    <xdr:to>
      <xdr:col>6</xdr:col>
      <xdr:colOff>426027</xdr:colOff>
      <xdr:row>5</xdr:row>
      <xdr:rowOff>5196</xdr:rowOff>
    </xdr:to>
    <xdr:sp macro="" textlink="">
      <xdr:nvSpPr>
        <xdr:cNvPr id="14" name="บวก 11">
          <a:extLst>
            <a:ext uri="{FF2B5EF4-FFF2-40B4-BE49-F238E27FC236}">
              <a16:creationId xmlns:a16="http://schemas.microsoft.com/office/drawing/2014/main" id="{D68E30CB-37E7-44A0-885E-58D38396B474}"/>
            </a:ext>
          </a:extLst>
        </xdr:cNvPr>
        <xdr:cNvSpPr/>
      </xdr:nvSpPr>
      <xdr:spPr bwMode="auto">
        <a:xfrm>
          <a:off x="7103052" y="1119621"/>
          <a:ext cx="133350" cy="76200"/>
        </a:xfrm>
        <a:prstGeom prst="mathPlus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th-TH"/>
        </a:p>
      </xdr:txBody>
    </xdr:sp>
    <xdr:clientData/>
  </xdr:twoCellAnchor>
  <xdr:twoCellAnchor>
    <xdr:from>
      <xdr:col>7</xdr:col>
      <xdr:colOff>257175</xdr:colOff>
      <xdr:row>4</xdr:row>
      <xdr:rowOff>171450</xdr:rowOff>
    </xdr:from>
    <xdr:to>
      <xdr:col>7</xdr:col>
      <xdr:colOff>409574</xdr:colOff>
      <xdr:row>5</xdr:row>
      <xdr:rowOff>14573</xdr:rowOff>
    </xdr:to>
    <xdr:sp macro="" textlink="">
      <xdr:nvSpPr>
        <xdr:cNvPr id="15" name="วงรี 14">
          <a:extLst>
            <a:ext uri="{FF2B5EF4-FFF2-40B4-BE49-F238E27FC236}">
              <a16:creationId xmlns:a16="http://schemas.microsoft.com/office/drawing/2014/main" id="{120BF6EB-1835-4DF2-BD43-3576DD5F255D}"/>
            </a:ext>
          </a:extLst>
        </xdr:cNvPr>
        <xdr:cNvSpPr/>
      </xdr:nvSpPr>
      <xdr:spPr bwMode="auto">
        <a:xfrm>
          <a:off x="7962900" y="1047750"/>
          <a:ext cx="152399" cy="157448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7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333375</xdr:colOff>
      <xdr:row>4</xdr:row>
      <xdr:rowOff>171450</xdr:rowOff>
    </xdr:from>
    <xdr:to>
      <xdr:col>8</xdr:col>
      <xdr:colOff>485774</xdr:colOff>
      <xdr:row>5</xdr:row>
      <xdr:rowOff>14573</xdr:rowOff>
    </xdr:to>
    <xdr:sp macro="" textlink="">
      <xdr:nvSpPr>
        <xdr:cNvPr id="16" name="วงรี 14">
          <a:extLst>
            <a:ext uri="{FF2B5EF4-FFF2-40B4-BE49-F238E27FC236}">
              <a16:creationId xmlns:a16="http://schemas.microsoft.com/office/drawing/2014/main" id="{3FF0A300-E252-4919-A169-60B4D595ABBD}"/>
            </a:ext>
          </a:extLst>
        </xdr:cNvPr>
        <xdr:cNvSpPr/>
      </xdr:nvSpPr>
      <xdr:spPr bwMode="auto">
        <a:xfrm>
          <a:off x="8648700" y="1047750"/>
          <a:ext cx="152399" cy="157448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8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352425</xdr:colOff>
      <xdr:row>4</xdr:row>
      <xdr:rowOff>238125</xdr:rowOff>
    </xdr:from>
    <xdr:to>
      <xdr:col>4</xdr:col>
      <xdr:colOff>485775</xdr:colOff>
      <xdr:row>5</xdr:row>
      <xdr:rowOff>0</xdr:rowOff>
    </xdr:to>
    <xdr:sp macro="" textlink="">
      <xdr:nvSpPr>
        <xdr:cNvPr id="17" name="บวก 11">
          <a:extLst>
            <a:ext uri="{FF2B5EF4-FFF2-40B4-BE49-F238E27FC236}">
              <a16:creationId xmlns:a16="http://schemas.microsoft.com/office/drawing/2014/main" id="{8A0D5927-08E8-46E7-A67F-489829EC13FF}"/>
            </a:ext>
          </a:extLst>
        </xdr:cNvPr>
        <xdr:cNvSpPr/>
      </xdr:nvSpPr>
      <xdr:spPr bwMode="auto">
        <a:xfrm>
          <a:off x="5581650" y="1114425"/>
          <a:ext cx="133350" cy="76200"/>
        </a:xfrm>
        <a:prstGeom prst="mathPlus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th-TH"/>
        </a:p>
      </xdr:txBody>
    </xdr:sp>
    <xdr:clientData/>
  </xdr:twoCellAnchor>
  <xdr:twoCellAnchor>
    <xdr:from>
      <xdr:col>4</xdr:col>
      <xdr:colOff>552450</xdr:colOff>
      <xdr:row>4</xdr:row>
      <xdr:rowOff>209550</xdr:rowOff>
    </xdr:from>
    <xdr:to>
      <xdr:col>4</xdr:col>
      <xdr:colOff>704849</xdr:colOff>
      <xdr:row>5</xdr:row>
      <xdr:rowOff>52109</xdr:rowOff>
    </xdr:to>
    <xdr:sp macro="" textlink="">
      <xdr:nvSpPr>
        <xdr:cNvPr id="18" name="วงรี 17">
          <a:extLst>
            <a:ext uri="{FF2B5EF4-FFF2-40B4-BE49-F238E27FC236}">
              <a16:creationId xmlns:a16="http://schemas.microsoft.com/office/drawing/2014/main" id="{96F5C5ED-6C99-492B-A949-6F6EFE726E59}"/>
            </a:ext>
          </a:extLst>
        </xdr:cNvPr>
        <xdr:cNvSpPr/>
      </xdr:nvSpPr>
      <xdr:spPr bwMode="auto">
        <a:xfrm>
          <a:off x="5781675" y="1085850"/>
          <a:ext cx="152399" cy="156884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900">
              <a:solidFill>
                <a:schemeClr val="bg1"/>
              </a:solidFill>
            </a:rPr>
            <a:t>3</a:t>
          </a:r>
        </a:p>
      </xdr:txBody>
    </xdr:sp>
    <xdr:clientData/>
  </xdr:twoCellAnchor>
  <xdr:twoCellAnchor>
    <xdr:from>
      <xdr:col>12</xdr:col>
      <xdr:colOff>333375</xdr:colOff>
      <xdr:row>4</xdr:row>
      <xdr:rowOff>257175</xdr:rowOff>
    </xdr:from>
    <xdr:to>
      <xdr:col>12</xdr:col>
      <xdr:colOff>438151</xdr:colOff>
      <xdr:row>4</xdr:row>
      <xdr:rowOff>302894</xdr:rowOff>
    </xdr:to>
    <xdr:sp macro="" textlink="">
      <xdr:nvSpPr>
        <xdr:cNvPr id="19" name="ลบ 16">
          <a:extLst>
            <a:ext uri="{FF2B5EF4-FFF2-40B4-BE49-F238E27FC236}">
              <a16:creationId xmlns:a16="http://schemas.microsoft.com/office/drawing/2014/main" id="{960809D4-F925-4C76-935D-E01752723FC0}"/>
            </a:ext>
          </a:extLst>
        </xdr:cNvPr>
        <xdr:cNvSpPr/>
      </xdr:nvSpPr>
      <xdr:spPr bwMode="auto">
        <a:xfrm>
          <a:off x="10658475" y="1295400"/>
          <a:ext cx="104776" cy="45719"/>
        </a:xfrm>
        <a:prstGeom prst="mathMinus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th-TH"/>
        </a:p>
      </xdr:txBody>
    </xdr:sp>
    <xdr:clientData/>
  </xdr:twoCellAnchor>
  <xdr:twoCellAnchor>
    <xdr:from>
      <xdr:col>12</xdr:col>
      <xdr:colOff>142875</xdr:colOff>
      <xdr:row>4</xdr:row>
      <xdr:rowOff>190500</xdr:rowOff>
    </xdr:from>
    <xdr:to>
      <xdr:col>12</xdr:col>
      <xdr:colOff>295270</xdr:colOff>
      <xdr:row>5</xdr:row>
      <xdr:rowOff>33000</xdr:rowOff>
    </xdr:to>
    <xdr:sp macro="" textlink="">
      <xdr:nvSpPr>
        <xdr:cNvPr id="20" name="วงรี 19">
          <a:extLst>
            <a:ext uri="{FF2B5EF4-FFF2-40B4-BE49-F238E27FC236}">
              <a16:creationId xmlns:a16="http://schemas.microsoft.com/office/drawing/2014/main" id="{1BFFDBA0-32B2-4FFD-BBED-C98F42F63021}"/>
            </a:ext>
          </a:extLst>
        </xdr:cNvPr>
        <xdr:cNvSpPr/>
      </xdr:nvSpPr>
      <xdr:spPr bwMode="auto">
        <a:xfrm>
          <a:off x="10467975" y="1228725"/>
          <a:ext cx="152395" cy="156825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5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457201</xdr:colOff>
      <xdr:row>4</xdr:row>
      <xdr:rowOff>190500</xdr:rowOff>
    </xdr:from>
    <xdr:to>
      <xdr:col>12</xdr:col>
      <xdr:colOff>609596</xdr:colOff>
      <xdr:row>5</xdr:row>
      <xdr:rowOff>33000</xdr:rowOff>
    </xdr:to>
    <xdr:sp macro="" textlink="">
      <xdr:nvSpPr>
        <xdr:cNvPr id="21" name="วงรี 20">
          <a:extLst>
            <a:ext uri="{FF2B5EF4-FFF2-40B4-BE49-F238E27FC236}">
              <a16:creationId xmlns:a16="http://schemas.microsoft.com/office/drawing/2014/main" id="{6E41EA9E-0E9D-475B-BFED-62C762109B81}"/>
            </a:ext>
          </a:extLst>
        </xdr:cNvPr>
        <xdr:cNvSpPr/>
      </xdr:nvSpPr>
      <xdr:spPr bwMode="auto">
        <a:xfrm>
          <a:off x="10677526" y="1066800"/>
          <a:ext cx="152395" cy="156825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6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133350</xdr:colOff>
      <xdr:row>3</xdr:row>
      <xdr:rowOff>180975</xdr:rowOff>
    </xdr:from>
    <xdr:to>
      <xdr:col>12</xdr:col>
      <xdr:colOff>647700</xdr:colOff>
      <xdr:row>4</xdr:row>
      <xdr:rowOff>133351</xdr:rowOff>
    </xdr:to>
    <xdr:sp macro="" textlink="">
      <xdr:nvSpPr>
        <xdr:cNvPr id="22" name="วงรี 12">
          <a:extLst>
            <a:ext uri="{FF2B5EF4-FFF2-40B4-BE49-F238E27FC236}">
              <a16:creationId xmlns:a16="http://schemas.microsoft.com/office/drawing/2014/main" id="{98779F06-814E-4C96-B866-AAAEF0469E60}"/>
            </a:ext>
          </a:extLst>
        </xdr:cNvPr>
        <xdr:cNvSpPr/>
      </xdr:nvSpPr>
      <xdr:spPr bwMode="auto">
        <a:xfrm>
          <a:off x="10353675" y="819150"/>
          <a:ext cx="514350" cy="190501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900">
              <a:solidFill>
                <a:schemeClr val="bg1"/>
              </a:solidFill>
            </a:rPr>
            <a:t>9</a:t>
          </a:r>
          <a:r>
            <a:rPr lang="th-TH" sz="900">
              <a:solidFill>
                <a:schemeClr val="bg1"/>
              </a:solidFill>
            </a:rPr>
            <a:t>  </a:t>
          </a:r>
          <a:r>
            <a:rPr lang="en-US" sz="900">
              <a:solidFill>
                <a:schemeClr val="bg1"/>
              </a:solidFill>
            </a:rPr>
            <a:t>=  </a:t>
          </a:r>
          <a:endParaRPr lang="th-TH" sz="9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11.&#3626;&#3619;&#3640;&#3611;&#3648;&#3591;&#3636;&#3609;\&#3626;&#3619;&#3640;&#3611;&#3648;&#3591;&#3636;&#3609;%20(&#3611;&#3637;&#3591;&#3610;&#3611;&#3619;&#3632;&#3617;&#3634;&#3603;%202563)\3.&#3608;.&#3588;.%2062\&#3626;&#3619;&#3640;&#3611;&#3648;&#3591;&#3636;&#3609;%2021%20&#3617;&#3637;.&#3588;.%2060%20%20(&#3611;&#3619;&#3632;&#3617;&#3634;&#3603;&#3585;&#3634;&#3619;%2026-&#3605;.&#3588;.%205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&#3591;&#3634;&#3609;&#3591;&#3610;&#3611;&#3619;&#3632;&#3617;&#3634;&#3603;&#3649;&#3621;&#3632;&#3585;&#3634;&#3619;&#3648;&#3591;&#3636;&#3609;\11.&#3626;&#3619;&#3640;&#3611;&#3648;&#3591;&#3636;&#3609;\&#3626;&#3619;&#3640;&#3611;&#3648;&#3591;&#3636;&#3609;%20(&#3611;&#3637;&#3591;&#3610;&#3611;&#3619;&#3632;&#3617;&#3634;&#3603;%202563)\3.&#3608;.&#3588;.%2062\&#3649;&#3612;&#3609;-&#3612;&#3621;&#3585;&#3634;&#3619;&#3651;&#3594;&#3657;&#3592;&#3656;&#3634;&#3618;&#3648;&#3591;&#3636;&#3609;%20(&#3626;&#3656;&#3623;&#3609;)\&#3649;&#3612;&#3609;&#3585;&#3634;&#3619;&#3651;&#3594;&#3657;&#3592;&#3656;&#3634;&#3618;&#3648;&#3591;&#3636;&#3609;%20(&#3626;&#3656;&#3623;&#3609;)\1%20&#3605;.&#3588;.59-30%20&#3585;.&#3618;.60(26%20&#3605;.&#3588;.59)%20-%20&#3605;&#3634;&#3617;&#3626;&#3619;&#3640;&#3611;&#3648;&#3591;&#3636;&#3609;%20&#3624;&#3626;&#3626;(&#3648;&#3614;&#3636;&#3656;&#3617;%2050000&#3607;&#3640;&#3585;&#3626;&#3656;&#3623;&#3609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11.&#3626;&#3619;&#3640;&#3611;&#3648;&#3591;&#3636;&#3609;\&#3626;&#3619;&#3640;&#3611;&#3648;&#3591;&#3636;&#3609;%20(&#3611;&#3637;&#3591;&#3610;&#3611;&#3619;&#3632;&#3617;&#3634;&#3603;%202565)\&#3585;&#3641;&#3657;&#3588;&#3639;&#3609;&#3592;&#3634;&#3585;%20Server\&#3626;&#3619;&#3640;&#3611;&#3610;&#3633;&#3597;&#3594;&#3637;&#3585;&#3634;&#3619;&#3648;&#3591;&#3636;&#3609;&#3611;&#3637;%2065\&#3610;&#3633;&#3597;&#3594;&#3637;&#3588;&#3656;&#3634;&#3651;&#3594;&#3657;&#3592;&#3656;&#3634;&#3618;%20(&#3626;&#3656;&#3623;&#3609;&#3613;&#3656;&#3634;&#3618;&#3650;&#3588;&#3619;&#3591;&#3585;&#3634;&#3619;)%20&#3649;&#3585;&#3621;&#3632;\12.%20&#3592;&#3633;&#3604;&#3626;&#3619;&#3619;&#3648;&#3614;&#3639;&#3656;&#3629;&#3585;&#3634;&#3619;&#3610;&#3619;&#3636;&#3627;&#3634;&#3619;.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4.&#3649;&#3612;&#3609;&#3611;&#3599;&#3636;&#3610;&#3633;&#3605;&#3636;&#3591;&#3634;&#3609;%20&#3624;&#3626;&#3626;\2566\&#3649;&#3612;&#3609;%2066(%20&#3648;&#3591;&#3636;&#3609;&#3650;&#3629;&#3609;&#3591;&#3623;&#3604;%202)%20&#3652;&#3605;&#3619;&#3617;&#3634;&#3626;%203\&#3592;&#3634;&#3585;&#3626;&#3656;&#3623;&#3609;\&#3605;&#3634;&#3619;&#3634;&#3591;&#3626;&#3619;&#3640;&#3611;&#3591;&#3610;&#3611;&#3619;&#3632;&#3617;&#3634;&#3603;&#3588;&#3591;&#3648;&#3627;&#3621;&#3639;&#3629;&#3626;&#3614;&#3619;_&#3649;&#3585;&#3657;&#3652;&#35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4.&#3649;&#3612;&#3609;&#3611;&#3599;&#3636;&#3610;&#3633;&#3605;&#3636;&#3591;&#3634;&#3609;%20&#3624;&#3626;&#3626;\2566\&#3649;&#3612;&#3609;%2066(%20&#3648;&#3591;&#3636;&#3609;&#3650;&#3629;&#3609;&#3591;&#3623;&#3604;%202)%20&#3652;&#3605;&#3619;&#3617;&#3634;&#3626;%203\&#3592;&#3634;&#3585;&#3626;&#3656;&#3623;&#3609;\&#3605;&#3634;&#3619;&#3634;&#3591;&#3626;&#3619;&#3640;&#3611;&#3591;&#3610;&#3611;&#3619;&#3632;&#3617;&#3634;&#3603;&#3588;&#3591;&#3648;&#3627;&#3621;&#3639;&#3629;%20&#3626;&#3614;&#362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4.&#3649;&#3612;&#3609;&#3611;&#3599;&#3636;&#3610;&#3633;&#3605;&#3636;&#3591;&#3634;&#3609;%20&#3624;&#3626;&#3626;\2566\&#3649;&#3612;&#3609;%2066(%20&#3648;&#3591;&#3636;&#3609;&#3650;&#3629;&#3609;&#3591;&#3623;&#3604;%202)%20&#3652;&#3605;&#3619;&#3617;&#3634;&#3626;%203\&#3592;&#3634;&#3585;&#3626;&#3656;&#3623;&#3609;\&#3626;&#3626;&#3611;-&#3605;&#3634;&#3619;&#3634;&#3591;&#3626;&#3619;&#3640;&#3611;&#3591;&#3610;&#3611;&#3619;&#3632;&#3617;&#3634;&#3603;&#3588;&#3591;&#3648;&#3627;&#3621;&#3639;&#3629;(310166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4.&#3649;&#3612;&#3609;&#3611;&#3599;&#3636;&#3610;&#3633;&#3605;&#3636;&#3591;&#3634;&#3609;%20&#3624;&#3626;&#3626;\2566\&#3649;&#3612;&#3609;%2066(%20&#3648;&#3591;&#3636;&#3609;&#3650;&#3629;&#3609;&#3591;&#3623;&#3604;%202)%20&#3652;&#3605;&#3619;&#3617;&#3634;&#3626;%203\&#3592;&#3634;&#3585;&#3626;&#3656;&#3623;&#3609;\&#3605;&#3634;&#3619;&#3634;&#3591;&#3626;&#3619;&#3640;&#3611;&#3591;&#3610;&#3611;&#3619;&#3632;&#3617;&#3634;&#3603;&#3588;&#3591;&#3648;&#3627;&#3621;&#3639;&#3629;(&#3626;&#3616;&#3607;.)(1)_&#3591;&#3610;&#3604;&#3635;&#3648;&#3609;&#3636;&#3609;&#3591;&#3634;&#360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4.&#3649;&#3612;&#3609;&#3611;&#3599;&#3636;&#3610;&#3633;&#3605;&#3636;&#3591;&#3634;&#3609;%20&#3624;&#3626;&#3626;\2566\&#3649;&#3612;&#3609;%2066(%20&#3648;&#3591;&#3636;&#3609;&#3650;&#3629;&#3609;&#3591;&#3623;&#3604;%202)%20&#3652;&#3605;&#3619;&#3617;&#3634;&#3626;%203\&#3592;&#3634;&#3585;&#3626;&#3656;&#3623;&#3609;\&#3605;&#3634;&#3619;&#3634;&#3591;&#3626;&#3619;&#3640;&#3611;&#3591;&#3610;&#3611;&#3619;&#3632;&#3617;&#3634;&#3603;&#3588;&#3591;&#3648;&#3627;&#3621;&#3639;&#3629;&#3591;&#3610;&#3651;&#3594;&#3657;&#3592;&#3656;&#3634;&#3618;%20&#3626;&#3607;&#3626;%20&#3585;&#3614;-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11.&#3626;&#3619;&#3640;&#3611;&#3648;&#3591;&#3636;&#3609;\&#3626;&#3619;&#3640;&#3611;&#3648;&#3591;&#3636;&#3609;%20(&#3611;&#3637;&#3591;&#3610;&#3611;&#3619;&#3632;&#3617;&#3634;&#3603;%202566)\&#3585;&#3641;&#3657;&#3588;&#3639;&#3609;&#3592;&#3634;&#3585;%20Server\&#3626;&#3619;&#3640;&#3611;&#3610;&#3633;&#3597;&#3594;&#3637;&#3585;&#3634;&#3619;&#3648;&#3591;&#3636;&#3609;&#3611;&#3637;%2066\&#3610;&#3633;&#3597;&#3594;&#3637;&#3588;&#3656;&#3634;&#3651;&#3594;&#3657;&#3592;&#3656;&#3634;&#3618;%20(&#3626;&#3656;&#3623;&#3609;&#3613;&#3656;&#3634;&#3618;&#3650;&#3588;&#3619;&#3591;&#3585;&#3634;&#3619;)%20&#3649;&#3585;&#3621;&#3632;\12.%20&#3592;&#3633;&#3604;&#3626;&#3619;&#3619;&#3648;&#3614;&#3639;&#3656;&#3629;&#3585;&#3634;&#3619;&#3610;&#3619;&#3636;&#3627;&#3634;&#3619;.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11.&#3626;&#3619;&#3640;&#3611;&#3648;&#3591;&#3636;&#3609;\&#3626;&#3619;&#3640;&#3611;&#3648;&#3591;&#3636;&#3609;%20(&#3611;&#3637;&#3591;&#3610;&#3611;&#3619;&#3632;&#3617;&#3634;&#3603;%202566)\&#3585;&#3641;&#3657;&#3588;&#3639;&#3609;&#3592;&#3634;&#3585;%20Server\&#3626;&#3619;&#3640;&#3611;&#3610;&#3633;&#3597;&#3594;&#3637;&#3585;&#3634;&#3619;&#3648;&#3591;&#3636;&#3609;&#3611;&#3637;%2066\&#3610;&#3633;&#3597;&#3594;&#3637;&#3588;&#3656;&#3634;&#3651;&#3594;&#3657;&#3592;&#3656;&#3634;&#3618;%20(&#3626;&#3656;&#3623;&#3609;&#3613;&#3656;&#3634;&#3618;&#3650;&#3588;&#3619;&#3591;&#3585;&#3634;&#3619;)%20&#3649;&#3585;&#3621;&#3632;\11.%20&#3612;&#3629;.&#3624;&#3626;&#3626;.&#3649;&#3621;&#3632;%20&#3612;&#3594;&#3594;.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11.&#3626;&#3619;&#3640;&#3611;&#3648;&#3591;&#3636;&#3609;\&#3626;&#3619;&#3640;&#3611;&#3648;&#3591;&#3636;&#3609;%20(&#3611;&#3637;&#3591;&#3610;&#3611;&#3619;&#3632;&#3617;&#3634;&#3603;%202566)\&#3585;&#3641;&#3657;&#3588;&#3639;&#3609;&#3592;&#3634;&#3585;%20Server\&#3626;&#3619;&#3640;&#3611;&#3610;&#3633;&#3597;&#3594;&#3637;&#3585;&#3634;&#3619;&#3648;&#3591;&#3636;&#3609;&#3611;&#3637;%2066\&#3610;&#3633;&#3597;&#3594;&#3637;&#3588;&#3656;&#3634;&#3651;&#3594;&#3657;&#3592;&#3656;&#3634;&#3618;%20(&#3626;&#3656;&#3623;&#3609;&#3613;&#3656;&#3634;&#3618;&#3650;&#3588;&#3619;&#3591;&#3585;&#3634;&#3619;)%20&#3649;&#3585;&#3621;&#3632;\1.&#3613;&#3610;&#3607;.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11.&#3626;&#3619;&#3640;&#3611;&#3648;&#3591;&#3636;&#3609;\&#3626;&#3619;&#3640;&#3611;&#3648;&#3591;&#3636;&#3609;%20(&#3611;&#3637;&#3591;&#3610;&#3611;&#3619;&#3632;&#3617;&#3634;&#3603;%202566)\&#3585;&#3641;&#3657;&#3588;&#3639;&#3609;&#3592;&#3634;&#3585;%20Server\&#3626;&#3619;&#3640;&#3611;&#3610;&#3633;&#3597;&#3594;&#3637;&#3585;&#3634;&#3619;&#3648;&#3591;&#3636;&#3609;&#3611;&#3637;%2066\&#3610;&#3633;&#3597;&#3594;&#3637;&#3588;&#3656;&#3634;&#3651;&#3594;&#3657;&#3592;&#3656;&#3634;&#3618;%20(&#3626;&#3656;&#3623;&#3609;&#3613;&#3656;&#3634;&#3618;&#3650;&#3588;&#3619;&#3591;&#3585;&#3634;&#3619;)%20&#3649;&#3585;&#3621;&#3632;\4.%20&#3626;&#3626;&#3611;.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11.&#3626;&#3619;&#3640;&#3611;&#3648;&#3591;&#3636;&#3609;\&#3626;&#3619;&#3640;&#3611;&#3648;&#3591;&#3636;&#3609;%20(&#3611;&#3637;&#3591;&#3610;&#3611;&#3619;&#3632;&#3617;&#3634;&#3603;%202566)\&#3585;&#3641;&#3657;&#3588;&#3639;&#3609;&#3592;&#3634;&#3585;%20Server\&#3626;&#3619;&#3640;&#3611;&#3610;&#3633;&#3597;&#3594;&#3637;&#3585;&#3634;&#3619;&#3648;&#3591;&#3636;&#3609;&#3611;&#3637;%2066\&#3610;&#3633;&#3597;&#3594;&#3637;&#3588;&#3656;&#3634;&#3651;&#3594;&#3657;&#3592;&#3656;&#3634;&#3618;%20(&#3626;&#3656;&#3623;&#3609;&#3613;&#3656;&#3634;&#3618;&#3650;&#3588;&#3619;&#3591;&#3585;&#3634;&#3619;)%20&#3649;&#3585;&#3621;&#3632;\5.%20&#3626;&#3616;&#3607;.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11.&#3626;&#3619;&#3640;&#3611;&#3648;&#3591;&#3636;&#3609;\&#3626;&#3619;&#3640;&#3611;&#3648;&#3591;&#3636;&#3609;%20(&#3611;&#3637;&#3591;&#3610;&#3611;&#3619;&#3632;&#3617;&#3634;&#3603;%202566)\&#3585;&#3641;&#3657;&#3588;&#3639;&#3609;&#3592;&#3634;&#3585;%20Server\&#3626;&#3619;&#3640;&#3611;&#3610;&#3633;&#3597;&#3594;&#3637;&#3585;&#3634;&#3619;&#3648;&#3591;&#3636;&#3609;&#3611;&#3637;%2066\&#3610;&#3633;&#3597;&#3594;&#3637;&#3588;&#3656;&#3634;&#3651;&#3594;&#3657;&#3592;&#3656;&#3634;&#3618;%20(&#3626;&#3656;&#3623;&#3609;&#3613;&#3656;&#3634;&#3618;&#3650;&#3588;&#3619;&#3591;&#3585;&#3634;&#3619;)%20&#3649;&#3585;&#3621;&#3632;\6.%20&#3626;&#3607;&#3626;.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11.&#3626;&#3619;&#3640;&#3611;&#3648;&#3591;&#3636;&#3609;\&#3626;&#3619;&#3640;&#3611;&#3648;&#3591;&#3636;&#3609;%20(&#3611;&#3637;&#3591;&#3610;&#3611;&#3619;&#3632;&#3617;&#3634;&#3603;%202566)\&#3585;&#3641;&#3657;&#3588;&#3639;&#3609;&#3592;&#3634;&#3585;%20Server\&#3626;&#3619;&#3640;&#3611;&#3610;&#3633;&#3597;&#3594;&#3637;&#3585;&#3634;&#3619;&#3648;&#3591;&#3636;&#3609;&#3611;&#3637;%2066\&#3610;&#3633;&#3597;&#3594;&#3637;&#3588;&#3656;&#3634;&#3651;&#3594;&#3657;&#3592;&#3656;&#3634;&#3618;%20(&#3626;&#3656;&#3623;&#3609;&#3613;&#3656;&#3634;&#3618;&#3650;&#3588;&#3619;&#3591;&#3585;&#3634;&#3619;)%20&#3649;&#3585;&#3621;&#3632;\7.%20&#3626;&#3585;&#3585;.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11.&#3626;&#3619;&#3640;&#3611;&#3648;&#3591;&#3636;&#3609;\&#3626;&#3619;&#3640;&#3611;&#3648;&#3591;&#3636;&#3609;%20(&#3611;&#3637;&#3591;&#3610;&#3611;&#3619;&#3632;&#3617;&#3634;&#3603;%202566)\&#3585;&#3641;&#3657;&#3588;&#3639;&#3609;&#3592;&#3634;&#3585;%20Server\&#3626;&#3619;&#3640;&#3611;&#3610;&#3633;&#3597;&#3594;&#3637;&#3585;&#3634;&#3619;&#3648;&#3591;&#3636;&#3609;&#3611;&#3637;%2066\&#3610;&#3633;&#3597;&#3594;&#3637;&#3588;&#3656;&#3634;&#3651;&#3594;&#3657;&#3592;&#3656;&#3634;&#3618;%20(&#3626;&#3656;&#3623;&#3609;&#3613;&#3656;&#3634;&#3618;&#3650;&#3588;&#3619;&#3591;&#3585;&#3634;&#3619;)%20&#3649;&#3585;&#3621;&#3632;\8.%20&#3626;&#3611;&#3619;.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11.&#3626;&#3619;&#3640;&#3611;&#3648;&#3591;&#3636;&#3609;\&#3626;&#3619;&#3640;&#3611;&#3648;&#3591;&#3636;&#3609;%20(&#3611;&#3637;&#3591;&#3610;&#3611;&#3619;&#3632;&#3617;&#3634;&#3603;%202566)\&#3585;&#3641;&#3657;&#3588;&#3639;&#3609;&#3592;&#3634;&#3585;%20Server\&#3626;&#3619;&#3640;&#3611;&#3610;&#3633;&#3597;&#3594;&#3637;&#3585;&#3634;&#3619;&#3648;&#3591;&#3636;&#3609;&#3611;&#3637;%2066\&#3610;&#3633;&#3597;&#3594;&#3637;&#3588;&#3656;&#3634;&#3651;&#3594;&#3657;&#3592;&#3656;&#3634;&#3618;%20(&#3626;&#3656;&#3623;&#3609;&#3613;&#3656;&#3634;&#3618;&#3650;&#3588;&#3619;&#3591;&#3585;&#3634;&#3619;)%20&#3649;&#3585;&#3621;&#3632;\9.&#3626;&#3614;&#3585;.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11.&#3626;&#3619;&#3640;&#3611;&#3648;&#3591;&#3636;&#3609;\&#3626;&#3619;&#3640;&#3611;&#3648;&#3591;&#3636;&#3609;%20(&#3611;&#3637;&#3591;&#3610;&#3611;&#3619;&#3632;&#3617;&#3634;&#3603;%202566)\&#3585;&#3641;&#3657;&#3588;&#3639;&#3609;&#3592;&#3634;&#3585;%20Server\&#3626;&#3619;&#3640;&#3611;&#3610;&#3633;&#3597;&#3594;&#3637;&#3585;&#3634;&#3619;&#3648;&#3591;&#3636;&#3609;&#3611;&#3637;%2066\&#3610;&#3633;&#3597;&#3594;&#3637;&#3588;&#3656;&#3634;&#3651;&#3594;&#3657;&#3592;&#3656;&#3634;&#3618;%20(&#3626;&#3656;&#3623;&#3609;&#3613;&#3656;&#3634;&#3618;&#3650;&#3588;&#3619;&#3591;&#3585;&#3634;&#3619;)%20&#3649;&#3585;&#3621;&#3632;\10.%20&#3626;&#3611;&#3586;.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4.&#3649;&#3612;&#3609;&#3611;&#3599;&#3636;&#3610;&#3633;&#3605;&#3636;&#3591;&#3634;&#3609;%20&#3624;&#3626;&#3626;\2566\1.%20&#3649;&#3612;&#3609;&#3611;&#3599;&#3636;&#3610;&#3633;&#3605;&#3636;&#3591;&#3634;&#3609;%20%20&#3624;&#3626;&#3626;.&#3626;&#3656;&#3591;&#3649;&#3612;&#3609;&#3591;&#3634;&#360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4.&#3649;&#3612;&#3609;&#3611;&#3599;&#3636;&#3610;&#3633;&#3605;&#3636;&#3591;&#3634;&#3609;%20&#3624;&#3626;&#3626;\2566\&#3649;&#3612;&#3609;%2066(%20&#3648;&#3591;&#3636;&#3609;&#3650;&#3629;&#3609;&#3591;&#3623;&#3604;%202)%20&#3652;&#3605;&#3619;&#3617;&#3634;&#3626;%203\&#3605;&#3634;&#3619;&#3634;&#3591;&#3626;&#3619;&#3640;&#3611;&#3591;&#3610;&#3611;&#3619;&#3632;&#3617;&#3634;&#3603;&#3588;&#3591;&#3648;&#3627;&#3621;&#3639;&#3629;_31%20&#3617;&#3588;.6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4.&#3649;&#3612;&#3609;&#3611;&#3599;&#3636;&#3610;&#3633;&#3605;&#3636;&#3591;&#3634;&#3609;%20&#3624;&#3626;&#3626;\2566\&#3649;&#3612;&#3609;%2066(%20&#3648;&#3591;&#3636;&#3609;&#3650;&#3629;&#3609;&#3591;&#3623;&#3604;%202)%20&#3652;&#3605;&#3619;&#3617;&#3634;&#3626;%203\&#3605;&#3634;&#3619;&#3634;&#3591;&#3626;&#3619;&#3640;&#3611;&#3591;&#3610;&#3611;&#3619;&#3632;&#3617;&#3634;&#3603;&#3588;&#3591;&#3648;&#3627;&#3621;&#3639;&#3629;_31%20&#3617;&#3588;.66%20update%2029%20&#3617;&#3637;&#3588;.6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4.&#3649;&#3612;&#3609;&#3611;&#3599;&#3636;&#3610;&#3633;&#3605;&#3636;&#3591;&#3634;&#3609;%20&#3624;&#3626;&#3626;\2566\&#3649;&#3612;&#3609;&#3585;&#3634;&#3619;&#3651;&#3594;&#3657;&#3648;&#3591;&#3636;&#3609;%20&#3617;&#3636;.&#3618;.%20-&#3585;.&#3588;.%2066\&#3648;&#3594;&#3588;&#3618;&#3629;&#3604;&#3648;&#3591;&#3636;&#3609;%20&#3585;&#3633;&#3610;%20&#3624;&#3626;&#3626;.xlsx%20&#3649;&#3612;&#3609;&#3607;&#3633;&#3657;&#3591;&#3611;&#3637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11.&#3626;&#3619;&#3640;&#3611;&#3648;&#3591;&#3636;&#3609;\&#3626;&#3619;&#3640;&#3611;&#3648;&#3591;&#3636;&#3609;%20(&#3611;&#3637;&#3591;&#3610;&#3611;&#3619;&#3632;&#3617;&#3634;&#3603;%202567)\&#3626;&#3619;&#3640;&#3611;&#3648;&#3591;&#3636;&#3609;\&#3626;&#3619;&#3640;&#3611;&#3610;&#3633;&#3597;&#3594;&#3637;&#3585;&#3634;&#3619;&#3648;&#3591;&#3636;&#3609;&#3611;&#3637;%2067\&#3610;&#3633;&#3597;&#3594;&#3637;&#3588;&#3656;&#3634;&#3651;&#3594;&#3657;&#3592;&#3656;&#3634;&#3618;%20(&#3626;&#3656;&#3623;&#3609;&#3613;&#3656;&#3634;&#3618;&#3650;&#3588;&#3619;&#3591;&#3585;&#3634;&#3619;)\12.%20&#3592;&#3633;&#3604;&#3626;&#3619;&#3619;&#3648;&#3614;&#3639;&#3656;&#3629;&#3585;&#3634;&#3619;&#3610;&#3619;&#3636;&#3627;&#3634;&#3619;.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11.&#3626;&#3619;&#3640;&#3611;&#3648;&#3591;&#3636;&#3609;\&#3626;&#3619;&#3640;&#3611;&#3648;&#3591;&#3636;&#3609;%20(&#3611;&#3637;&#3591;&#3610;&#3611;&#3619;&#3632;&#3617;&#3634;&#3603;%202567)\&#3626;&#3619;&#3640;&#3611;&#3648;&#3591;&#3636;&#3609;\&#3626;&#3619;&#3640;&#3611;&#3610;&#3633;&#3597;&#3594;&#3637;&#3585;&#3634;&#3619;&#3648;&#3591;&#3636;&#3609;&#3611;&#3637;%2067\&#3610;&#3633;&#3597;&#3594;&#3637;&#3588;&#3656;&#3634;&#3651;&#3594;&#3657;&#3592;&#3656;&#3634;&#3618;%20(&#3626;&#3656;&#3623;&#3609;&#3613;&#3656;&#3634;&#3618;&#3650;&#3588;&#3619;&#3591;&#3585;&#3634;&#3619;)\5.%20&#3626;&#3616;&#3607;.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11.&#3626;&#3619;&#3640;&#3611;&#3648;&#3591;&#3636;&#3609;\&#3626;&#3619;&#3640;&#3611;&#3648;&#3591;&#3636;&#3609;%20(&#3611;&#3637;&#3591;&#3610;&#3611;&#3619;&#3632;&#3617;&#3634;&#3603;%202567)\&#3626;&#3619;&#3640;&#3611;&#3648;&#3591;&#3636;&#3609;\&#3626;&#3619;&#3640;&#3611;&#3610;&#3633;&#3597;&#3594;&#3637;&#3585;&#3634;&#3619;&#3648;&#3591;&#3636;&#3609;&#3611;&#3637;%2067\&#3610;&#3633;&#3597;&#3594;&#3637;&#3588;&#3656;&#3634;&#3651;&#3594;&#3657;&#3592;&#3656;&#3634;&#3618;%20(&#3626;&#3656;&#3623;&#3609;&#3613;&#3656;&#3634;&#3618;&#3650;&#3588;&#3619;&#3591;&#3585;&#3634;&#3619;)\2.%20&#3626;&#3614;&#3619;.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11.&#3626;&#3619;&#3640;&#3611;&#3648;&#3591;&#3636;&#3609;\&#3626;&#3619;&#3640;&#3611;&#3648;&#3591;&#3636;&#3609;%20(&#3611;&#3637;&#3591;&#3610;&#3611;&#3619;&#3632;&#3617;&#3634;&#3603;%202567)\&#3626;&#3619;&#3640;&#3611;&#3648;&#3591;&#3636;&#3609;\&#3626;&#3619;&#3640;&#3611;&#3610;&#3633;&#3597;&#3594;&#3637;&#3585;&#3634;&#3619;&#3648;&#3591;&#3636;&#3609;&#3611;&#3637;%2067\&#3610;&#3633;&#3597;&#3594;&#3637;&#3588;&#3656;&#3634;&#3651;&#3594;&#3657;&#3592;&#3656;&#3634;&#3618;%20(&#3626;&#3656;&#3623;&#3609;&#3613;&#3656;&#3634;&#3618;&#3650;&#3588;&#3619;&#3591;&#3585;&#3634;&#3619;)\6.%20&#3626;&#3607;&#3626;.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11.&#3626;&#3619;&#3640;&#3611;&#3648;&#3591;&#3636;&#3609;\&#3626;&#3619;&#3640;&#3611;&#3648;&#3591;&#3636;&#3609;%20(&#3611;&#3637;&#3591;&#3610;&#3611;&#3619;&#3632;&#3617;&#3634;&#3603;%202565)\&#3626;&#3619;&#3640;&#3611;&#3610;&#3633;&#3597;&#3594;&#3637;&#3585;&#3634;&#3619;&#3648;&#3591;&#3636;&#3609;&#3611;&#3637;%2065\&#3610;&#3633;&#3597;&#3594;&#3637;&#3588;&#3656;&#3634;&#3651;&#3594;&#3657;&#3592;&#3656;&#3634;&#3618;%20(&#3626;&#3656;&#3623;&#3609;&#3613;&#3656;&#3634;&#3618;&#3650;&#3588;&#3619;&#3591;&#3585;&#3634;&#3619;)%20&#3649;&#3585;&#3621;&#3632;\1.&#3613;&#3610;&#3607;.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11.&#3626;&#3619;&#3640;&#3611;&#3648;&#3591;&#3636;&#3609;\&#3626;&#3619;&#3640;&#3611;&#3648;&#3591;&#3636;&#3609;%20(&#3611;&#3637;&#3591;&#3610;&#3611;&#3619;&#3632;&#3617;&#3634;&#3603;%202565)\&#3626;&#3619;&#3640;&#3611;&#3610;&#3633;&#3597;&#3594;&#3637;&#3585;&#3634;&#3619;&#3648;&#3591;&#3636;&#3609;&#3611;&#3637;%2065\&#3610;&#3633;&#3597;&#3594;&#3637;&#3588;&#3656;&#3634;&#3651;&#3594;&#3657;&#3592;&#3656;&#3634;&#3618;%20(&#3626;&#3656;&#3623;&#3609;&#3613;&#3656;&#3634;&#3618;&#3650;&#3588;&#3619;&#3591;&#3585;&#3634;&#3619;)%20&#3649;&#3585;&#3621;&#3632;\2.%20&#3626;&#3614;&#3619;.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11.&#3626;&#3619;&#3640;&#3611;&#3648;&#3591;&#3636;&#3609;\&#3626;&#3619;&#3640;&#3611;&#3648;&#3591;&#3636;&#3609;%20(&#3611;&#3637;&#3591;&#3610;&#3611;&#3619;&#3632;&#3617;&#3634;&#3603;%202565)\&#3626;&#3619;&#3640;&#3611;&#3610;&#3633;&#3597;&#3594;&#3637;&#3585;&#3634;&#3619;&#3648;&#3591;&#3636;&#3609;&#3611;&#3637;%2065\&#3610;&#3633;&#3597;&#3594;&#3637;&#3588;&#3656;&#3634;&#3651;&#3594;&#3657;&#3592;&#3656;&#3634;&#3618;%20(&#3626;&#3656;&#3623;&#3609;&#3613;&#3656;&#3634;&#3618;&#3650;&#3588;&#3619;&#3591;&#3585;&#3634;&#3619;)%20&#3649;&#3585;&#3621;&#3632;\3.%20&#3626;&#3614;&#3626;.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11.&#3626;&#3619;&#3640;&#3611;&#3648;&#3591;&#3636;&#3609;\&#3626;&#3619;&#3640;&#3611;&#3648;&#3591;&#3636;&#3609;%20(&#3611;&#3637;&#3591;&#3610;&#3611;&#3619;&#3632;&#3617;&#3634;&#3603;%202565)\&#3585;&#3641;&#3657;&#3588;&#3639;&#3609;&#3592;&#3634;&#3585;%20Server\&#3626;&#3619;&#3640;&#3611;&#3610;&#3633;&#3597;&#3594;&#3637;&#3585;&#3634;&#3619;&#3648;&#3591;&#3636;&#3609;&#3611;&#3637;%2065\&#3610;&#3633;&#3597;&#3594;&#3637;&#3588;&#3656;&#3634;&#3651;&#3594;&#3657;&#3592;&#3656;&#3634;&#3618;%20(&#3626;&#3656;&#3623;&#3609;&#3613;&#3656;&#3634;&#3618;&#3650;&#3588;&#3619;&#3591;&#3585;&#3634;&#3619;)%20&#3649;&#3585;&#3621;&#3632;\7.%20&#3626;&#3585;&#3585;.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11.&#3626;&#3619;&#3640;&#3611;&#3648;&#3591;&#3636;&#3609;\&#3626;&#3619;&#3640;&#3611;&#3648;&#3591;&#3636;&#3609;%20(&#3611;&#3637;&#3591;&#3610;&#3611;&#3619;&#3632;&#3617;&#3634;&#3603;%202564)%20&#3611;&#3619;&#3633;&#3610;&#3651;&#3627;&#3617;&#3656;\&#3610;&#3633;&#3597;&#3594;&#3637;&#3585;&#3634;&#3619;&#3648;&#3591;&#3636;&#3609;&#3611;&#3637;%2064\&#3626;&#3619;&#3640;&#3611;&#3610;&#3633;&#3597;&#3594;&#3637;&#3585;&#3634;&#3619;&#3648;&#3591;&#3636;&#3609;&#3611;&#3637;%2064\&#3610;&#3633;&#3597;&#3594;&#3637;&#3588;&#3656;&#3634;&#3651;&#3594;&#3657;&#3592;&#3656;&#3634;&#3618;%20(&#3626;&#3656;&#3623;&#3609;&#3613;&#3656;&#3634;&#3618;&#3650;&#3588;&#3619;&#3591;&#3585;&#3634;&#3619;)%20&#3649;&#3585;&#3621;&#3632;\10.%20&#3626;&#3611;&#3586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-cai2\Group_MGMT\&#3591;&#3634;&#3609;&#3591;&#3610;&#3611;&#3619;&#3632;&#3617;&#3634;&#3603;&#3649;&#3621;&#3632;&#3585;&#3634;&#3619;&#3648;&#3591;&#3636;&#3609;\11.&#3626;&#3619;&#3640;&#3611;&#3648;&#3591;&#3636;&#3609;\&#3626;&#3619;&#3640;&#3611;&#3648;&#3591;&#3636;&#3609;%20(&#3611;&#3637;&#3591;&#3610;&#3611;&#3619;&#3632;&#3617;&#3634;&#3603;%202565)\&#3585;&#3641;&#3657;&#3588;&#3639;&#3609;&#3592;&#3634;&#3585;%20Server\&#3626;&#3619;&#3640;&#3611;&#3610;&#3633;&#3597;&#3594;&#3637;&#3585;&#3634;&#3619;&#3648;&#3591;&#3636;&#3609;&#3611;&#3637;%2065\&#3610;&#3633;&#3597;&#3594;&#3637;&#3588;&#3656;&#3634;&#3651;&#3594;&#3657;&#3592;&#3656;&#3634;&#3618;%20(&#3626;&#3656;&#3623;&#3609;&#3613;&#3656;&#3634;&#3618;&#3650;&#3588;&#3619;&#3591;&#3585;&#3634;&#3619;)%20&#3649;&#3585;&#3621;&#3632;\6.%20&#3626;&#3607;&#3626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หน้างบฯ"/>
      <sheetName val="1.สรุปการใช้เงิน"/>
      <sheetName val="2.รายละเอียดการใช้เงิน"/>
      <sheetName val="3.ตารางโอนเงินให้ สศท."/>
      <sheetName val="จัดสรรให้ส่วนฝ่าย"/>
      <sheetName val="จัดสรรเพื่อบริหาร"/>
      <sheetName val="สรุปตามการจัดสรร"/>
      <sheetName val="สรุปรายงบ"/>
      <sheetName val="ช่วย สศท.สำรวจ"/>
      <sheetName val="เชิงลึก"/>
      <sheetName val="เงินงวด"/>
      <sheetName val="Sheet2"/>
      <sheetName val="บช.คุม"/>
      <sheetName val="Sheet1"/>
    </sheetNames>
    <sheetDataSet>
      <sheetData sheetId="0"/>
      <sheetData sheetId="1"/>
      <sheetData sheetId="2">
        <row r="9">
          <cell r="C9">
            <v>398800</v>
          </cell>
        </row>
        <row r="10">
          <cell r="C10">
            <v>469800</v>
          </cell>
        </row>
        <row r="11">
          <cell r="C11">
            <v>277900</v>
          </cell>
        </row>
        <row r="12">
          <cell r="C12">
            <v>209100</v>
          </cell>
        </row>
        <row r="13">
          <cell r="C13">
            <v>27000</v>
          </cell>
        </row>
        <row r="14">
          <cell r="C14">
            <v>289495</v>
          </cell>
        </row>
        <row r="15">
          <cell r="C15">
            <v>387000</v>
          </cell>
        </row>
        <row r="16">
          <cell r="C16">
            <v>576000</v>
          </cell>
        </row>
        <row r="17">
          <cell r="C17">
            <v>693600</v>
          </cell>
        </row>
        <row r="18">
          <cell r="C18">
            <v>681000</v>
          </cell>
        </row>
        <row r="21">
          <cell r="C21">
            <v>240000</v>
          </cell>
        </row>
        <row r="22">
          <cell r="C22">
            <v>0</v>
          </cell>
        </row>
        <row r="23">
          <cell r="C23">
            <v>100000</v>
          </cell>
        </row>
        <row r="24">
          <cell r="C24">
            <v>100000</v>
          </cell>
        </row>
        <row r="27">
          <cell r="C27">
            <v>420000</v>
          </cell>
        </row>
        <row r="28">
          <cell r="C28">
            <v>30000</v>
          </cell>
        </row>
        <row r="29">
          <cell r="C29">
            <v>96000</v>
          </cell>
        </row>
        <row r="30">
          <cell r="C30">
            <v>33000</v>
          </cell>
        </row>
        <row r="31">
          <cell r="C31">
            <v>1431660</v>
          </cell>
        </row>
        <row r="32">
          <cell r="C32">
            <v>671700</v>
          </cell>
        </row>
        <row r="33">
          <cell r="C33">
            <v>25000</v>
          </cell>
        </row>
        <row r="36">
          <cell r="C36">
            <v>984400</v>
          </cell>
        </row>
        <row r="37">
          <cell r="C37">
            <v>10500</v>
          </cell>
        </row>
        <row r="38">
          <cell r="C38">
            <v>639576</v>
          </cell>
        </row>
        <row r="39">
          <cell r="C39">
            <v>222000</v>
          </cell>
        </row>
        <row r="40">
          <cell r="C40">
            <v>49800</v>
          </cell>
        </row>
        <row r="41">
          <cell r="C41">
            <v>11400</v>
          </cell>
        </row>
        <row r="44">
          <cell r="C44">
            <v>2684880</v>
          </cell>
        </row>
        <row r="45">
          <cell r="C45">
            <v>472320</v>
          </cell>
        </row>
        <row r="46">
          <cell r="C46">
            <v>223200</v>
          </cell>
        </row>
        <row r="47">
          <cell r="C47">
            <v>7500</v>
          </cell>
        </row>
        <row r="48">
          <cell r="C48">
            <v>70000</v>
          </cell>
        </row>
        <row r="49">
          <cell r="C49">
            <v>5000</v>
          </cell>
        </row>
        <row r="52">
          <cell r="C52">
            <v>0</v>
          </cell>
        </row>
        <row r="53">
          <cell r="C53">
            <v>17000</v>
          </cell>
        </row>
        <row r="54">
          <cell r="C54">
            <v>30000</v>
          </cell>
        </row>
        <row r="55">
          <cell r="C55">
            <v>30000</v>
          </cell>
        </row>
        <row r="56">
          <cell r="C56">
            <v>430700</v>
          </cell>
        </row>
        <row r="57">
          <cell r="C57">
            <v>180000</v>
          </cell>
        </row>
        <row r="58">
          <cell r="C58">
            <v>100000</v>
          </cell>
        </row>
        <row r="59">
          <cell r="C59">
            <v>87850</v>
          </cell>
        </row>
        <row r="60">
          <cell r="C60">
            <v>100000</v>
          </cell>
        </row>
        <row r="61">
          <cell r="C61">
            <v>150000</v>
          </cell>
        </row>
        <row r="64">
          <cell r="C64">
            <v>100000</v>
          </cell>
        </row>
        <row r="65">
          <cell r="C65">
            <v>29500</v>
          </cell>
        </row>
        <row r="66">
          <cell r="C66">
            <v>0</v>
          </cell>
        </row>
        <row r="67">
          <cell r="C67">
            <v>25000</v>
          </cell>
        </row>
        <row r="68">
          <cell r="C68">
            <v>5000</v>
          </cell>
        </row>
        <row r="69">
          <cell r="C69">
            <v>0</v>
          </cell>
        </row>
        <row r="70">
          <cell r="C70">
            <v>15000</v>
          </cell>
        </row>
        <row r="71">
          <cell r="C71">
            <v>0</v>
          </cell>
        </row>
        <row r="72">
          <cell r="C72">
            <v>6000</v>
          </cell>
        </row>
        <row r="73">
          <cell r="C7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วมส่วนฝ่าย"/>
      <sheetName val="สรุป"/>
      <sheetName val="ฝบท."/>
      <sheetName val="Sheet1"/>
      <sheetName val="แผน-ผล (แยกกิจกรรม)"/>
    </sheetNames>
    <sheetDataSet>
      <sheetData sheetId="0" refreshError="1"/>
      <sheetData sheetId="1" refreshError="1">
        <row r="15">
          <cell r="C15">
            <v>240000</v>
          </cell>
          <cell r="D15">
            <v>145000</v>
          </cell>
          <cell r="F15">
            <v>100000</v>
          </cell>
          <cell r="G15">
            <v>100000</v>
          </cell>
        </row>
        <row r="19">
          <cell r="B19">
            <v>349047</v>
          </cell>
          <cell r="C19">
            <v>43740</v>
          </cell>
          <cell r="D19">
            <v>0</v>
          </cell>
          <cell r="E19">
            <v>35000</v>
          </cell>
          <cell r="F19">
            <v>10000</v>
          </cell>
          <cell r="G19">
            <v>0</v>
          </cell>
          <cell r="H19">
            <v>15000</v>
          </cell>
          <cell r="I19">
            <v>0</v>
          </cell>
          <cell r="J19">
            <v>12000</v>
          </cell>
          <cell r="K19">
            <v>0</v>
          </cell>
        </row>
        <row r="20">
          <cell r="F20">
            <v>300000</v>
          </cell>
        </row>
        <row r="21">
          <cell r="B21">
            <v>80000</v>
          </cell>
          <cell r="C21">
            <v>34000</v>
          </cell>
          <cell r="D21">
            <v>57000</v>
          </cell>
          <cell r="E21">
            <v>50000</v>
          </cell>
          <cell r="F21">
            <v>234360</v>
          </cell>
          <cell r="G21">
            <v>280000</v>
          </cell>
          <cell r="H21">
            <v>150000</v>
          </cell>
          <cell r="I21">
            <v>225700</v>
          </cell>
          <cell r="J21">
            <v>239000</v>
          </cell>
          <cell r="K21">
            <v>300000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รายการผูกพัน (สัญญาทั้งปี)"/>
      <sheetName val="2.รายการ คชจ.ส่วนกลาง"/>
      <sheetName val="3. ค่าสาธารณูปโภค"/>
      <sheetName val="สรุป"/>
    </sheetNames>
    <sheetDataSet>
      <sheetData sheetId="0" refreshError="1">
        <row r="3">
          <cell r="E3">
            <v>721500</v>
          </cell>
        </row>
        <row r="12">
          <cell r="F12">
            <v>721500</v>
          </cell>
        </row>
      </sheetData>
      <sheetData sheetId="1" refreshError="1">
        <row r="3">
          <cell r="E3">
            <v>255920</v>
          </cell>
          <cell r="AN3">
            <v>1186169</v>
          </cell>
        </row>
      </sheetData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วม"/>
      <sheetName val="สพร."/>
      <sheetName val="สพส."/>
      <sheetName val="สสป"/>
      <sheetName val="สพก."/>
      <sheetName val="สปร"/>
      <sheetName val="สกก"/>
      <sheetName val="สปข"/>
      <sheetName val="สภท"/>
      <sheetName val="สทส"/>
      <sheetName val="ฝบท"/>
    </sheetNames>
    <sheetDataSet>
      <sheetData sheetId="0"/>
      <sheetData sheetId="1">
        <row r="157">
          <cell r="G157">
            <v>40000</v>
          </cell>
          <cell r="H157">
            <v>0</v>
          </cell>
          <cell r="I157">
            <v>5000</v>
          </cell>
          <cell r="J157">
            <v>43000</v>
          </cell>
          <cell r="K157">
            <v>0</v>
          </cell>
          <cell r="L157">
            <v>0</v>
          </cell>
          <cell r="M1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วม"/>
      <sheetName val="สพร."/>
      <sheetName val="สพส."/>
      <sheetName val="สสป"/>
      <sheetName val="สพก."/>
      <sheetName val="สปร"/>
      <sheetName val="สกก"/>
      <sheetName val="สปข"/>
      <sheetName val="สภท"/>
      <sheetName val="สทส"/>
      <sheetName val="ฝบท"/>
    </sheetNames>
    <sheetDataSet>
      <sheetData sheetId="0"/>
      <sheetData sheetId="1"/>
      <sheetData sheetId="2">
        <row r="157">
          <cell r="G157">
            <v>28010</v>
          </cell>
          <cell r="H157">
            <v>1000</v>
          </cell>
          <cell r="I157">
            <v>1000</v>
          </cell>
          <cell r="J157">
            <v>63300</v>
          </cell>
          <cell r="K157">
            <v>34900</v>
          </cell>
          <cell r="L157">
            <v>91300</v>
          </cell>
          <cell r="M157">
            <v>1000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วม"/>
      <sheetName val="สพร."/>
      <sheetName val="สพส."/>
      <sheetName val="สสป"/>
      <sheetName val="สพก."/>
      <sheetName val="สปร"/>
      <sheetName val="สกก"/>
      <sheetName val="สปข"/>
      <sheetName val="สภท"/>
      <sheetName val="สทส"/>
      <sheetName val="ฝบท"/>
    </sheetNames>
    <sheetDataSet>
      <sheetData sheetId="0"/>
      <sheetData sheetId="1"/>
      <sheetData sheetId="2"/>
      <sheetData sheetId="3">
        <row r="157">
          <cell r="G157">
            <v>1250</v>
          </cell>
          <cell r="H157">
            <v>20000</v>
          </cell>
          <cell r="I157">
            <v>625</v>
          </cell>
          <cell r="J157">
            <v>0</v>
          </cell>
          <cell r="K157">
            <v>20000</v>
          </cell>
          <cell r="L157">
            <v>625</v>
          </cell>
          <cell r="M157">
            <v>1250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วม"/>
      <sheetName val="สพร."/>
      <sheetName val="สพส."/>
      <sheetName val="สสป"/>
      <sheetName val="สพก."/>
      <sheetName val="สปร"/>
      <sheetName val="สกก"/>
      <sheetName val="สปข"/>
      <sheetName val="สภท"/>
      <sheetName val="สทส"/>
      <sheetName val="ฝบ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2">
          <cell r="G32">
            <v>65000</v>
          </cell>
          <cell r="H32">
            <v>8000</v>
          </cell>
          <cell r="I32">
            <v>100000</v>
          </cell>
          <cell r="J32">
            <v>208000</v>
          </cell>
        </row>
      </sheetData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ทส"/>
    </sheetNames>
    <sheetDataSet>
      <sheetData sheetId="0">
        <row r="5">
          <cell r="G5">
            <v>102700</v>
          </cell>
          <cell r="H5">
            <v>2450</v>
          </cell>
          <cell r="I5">
            <v>34575</v>
          </cell>
          <cell r="J5">
            <v>94950</v>
          </cell>
          <cell r="K5">
            <v>1750</v>
          </cell>
          <cell r="L5">
            <v>30900</v>
          </cell>
          <cell r="M5">
            <v>62350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รายการผูกพัน (สัญญาทั้งปี)"/>
      <sheetName val="2.รายการ คชจ.ส่วนกลาง"/>
      <sheetName val="3. ค่าสาธารณูปโภค"/>
      <sheetName val="สรุป"/>
    </sheetNames>
    <sheetDataSet>
      <sheetData sheetId="0">
        <row r="4">
          <cell r="AP4">
            <v>661500</v>
          </cell>
          <cell r="AQ4"/>
          <cell r="AR4">
            <v>82000</v>
          </cell>
          <cell r="AS4">
            <v>17043.48</v>
          </cell>
          <cell r="AT4">
            <v>6600</v>
          </cell>
        </row>
        <row r="5">
          <cell r="AP5">
            <v>661500</v>
          </cell>
          <cell r="AQ5"/>
          <cell r="AR5">
            <v>82000</v>
          </cell>
          <cell r="AS5">
            <v>7906.84</v>
          </cell>
          <cell r="AT5">
            <v>3663</v>
          </cell>
        </row>
        <row r="6">
          <cell r="AP6">
            <v>661500</v>
          </cell>
          <cell r="AQ6">
            <v>2033</v>
          </cell>
          <cell r="AR6">
            <v>82000</v>
          </cell>
          <cell r="AS6">
            <v>18196.740000000002</v>
          </cell>
          <cell r="AT6">
            <v>7227</v>
          </cell>
        </row>
        <row r="7">
          <cell r="AP7">
            <v>661500</v>
          </cell>
          <cell r="AQ7"/>
          <cell r="AR7">
            <v>82000</v>
          </cell>
          <cell r="AS7">
            <v>25157.58</v>
          </cell>
          <cell r="AT7">
            <v>6732</v>
          </cell>
        </row>
        <row r="8">
          <cell r="AP8">
            <v>641500</v>
          </cell>
          <cell r="AQ8">
            <v>2033</v>
          </cell>
          <cell r="AR8">
            <v>82000</v>
          </cell>
          <cell r="AS8">
            <v>14482.47</v>
          </cell>
          <cell r="AT8">
            <v>7392</v>
          </cell>
        </row>
        <row r="9">
          <cell r="AP9">
            <v>362285</v>
          </cell>
          <cell r="AQ9"/>
          <cell r="AR9">
            <v>82000</v>
          </cell>
          <cell r="AS9">
            <v>17979.03</v>
          </cell>
          <cell r="AT9">
            <v>11616</v>
          </cell>
        </row>
        <row r="10">
          <cell r="AP10">
            <v>494025</v>
          </cell>
          <cell r="AQ10">
            <v>2033</v>
          </cell>
          <cell r="AR10">
            <v>82000</v>
          </cell>
          <cell r="AS10">
            <v>11282.22</v>
          </cell>
          <cell r="AT10">
            <v>5280</v>
          </cell>
        </row>
        <row r="11">
          <cell r="AP11">
            <v>2187825</v>
          </cell>
          <cell r="AQ11"/>
          <cell r="AR11">
            <v>82000</v>
          </cell>
          <cell r="AS11">
            <v>10299.450000000001</v>
          </cell>
          <cell r="AT11">
            <v>6336</v>
          </cell>
        </row>
        <row r="12">
          <cell r="AP12">
            <v>494025</v>
          </cell>
          <cell r="AQ12"/>
          <cell r="AR12">
            <v>82000</v>
          </cell>
          <cell r="AS12">
            <v>14107.62</v>
          </cell>
          <cell r="AT12">
            <v>7458</v>
          </cell>
        </row>
        <row r="13">
          <cell r="AP13">
            <v>494025</v>
          </cell>
          <cell r="AQ13">
            <v>2033</v>
          </cell>
          <cell r="AR13">
            <v>0</v>
          </cell>
          <cell r="AS13">
            <v>0</v>
          </cell>
          <cell r="AT13">
            <v>7128</v>
          </cell>
        </row>
        <row r="14">
          <cell r="AP14">
            <v>494025</v>
          </cell>
          <cell r="AQ14">
            <v>2033</v>
          </cell>
          <cell r="AR14">
            <v>0</v>
          </cell>
          <cell r="AS14">
            <v>0</v>
          </cell>
          <cell r="AT14">
            <v>7425</v>
          </cell>
        </row>
        <row r="15">
          <cell r="AP15">
            <v>494025</v>
          </cell>
          <cell r="AQ15">
            <v>2033</v>
          </cell>
          <cell r="AR15">
            <v>0</v>
          </cell>
          <cell r="AS15">
            <v>0</v>
          </cell>
          <cell r="AT15">
            <v>6996</v>
          </cell>
        </row>
      </sheetData>
      <sheetData sheetId="1">
        <row r="4">
          <cell r="AX4">
            <v>282720</v>
          </cell>
          <cell r="AY4">
            <v>51200</v>
          </cell>
          <cell r="AZ4">
            <v>38480</v>
          </cell>
          <cell r="BA4">
            <v>0</v>
          </cell>
          <cell r="BB4">
            <v>3000</v>
          </cell>
        </row>
        <row r="5">
          <cell r="AX5">
            <v>282720</v>
          </cell>
          <cell r="AY5">
            <v>51200</v>
          </cell>
          <cell r="AZ5">
            <v>38480</v>
          </cell>
          <cell r="BA5"/>
          <cell r="BB5">
            <v>8000</v>
          </cell>
        </row>
        <row r="6">
          <cell r="AX6">
            <v>274655</v>
          </cell>
          <cell r="AY6">
            <v>51200</v>
          </cell>
          <cell r="AZ6">
            <v>38480</v>
          </cell>
          <cell r="BA6"/>
          <cell r="BB6">
            <v>6900</v>
          </cell>
        </row>
        <row r="7">
          <cell r="AO7">
            <v>129000</v>
          </cell>
          <cell r="AX7">
            <v>282720</v>
          </cell>
          <cell r="AY7">
            <v>51700</v>
          </cell>
          <cell r="AZ7">
            <v>38480</v>
          </cell>
          <cell r="BA7"/>
          <cell r="BB7">
            <v>300</v>
          </cell>
        </row>
        <row r="8">
          <cell r="AX8">
            <v>282720</v>
          </cell>
          <cell r="AY8">
            <v>51700</v>
          </cell>
          <cell r="AZ8">
            <v>38480</v>
          </cell>
          <cell r="BA8"/>
          <cell r="BB8">
            <v>3000</v>
          </cell>
        </row>
        <row r="9">
          <cell r="AX9">
            <v>282720</v>
          </cell>
          <cell r="AY9">
            <v>61540</v>
          </cell>
          <cell r="AZ9">
            <v>38480</v>
          </cell>
          <cell r="BA9"/>
          <cell r="BB9">
            <v>2990</v>
          </cell>
        </row>
        <row r="10">
          <cell r="AX10">
            <v>267920</v>
          </cell>
          <cell r="AY10">
            <v>61540</v>
          </cell>
          <cell r="AZ10">
            <v>38480</v>
          </cell>
          <cell r="BA10"/>
          <cell r="BB10">
            <v>1500</v>
          </cell>
        </row>
        <row r="11">
          <cell r="AX11">
            <v>282220</v>
          </cell>
          <cell r="AY11">
            <v>61540</v>
          </cell>
          <cell r="AZ11">
            <v>38480</v>
          </cell>
          <cell r="BA11"/>
          <cell r="BB11">
            <v>1800</v>
          </cell>
        </row>
        <row r="12">
          <cell r="AX12">
            <v>282220</v>
          </cell>
          <cell r="AY12">
            <v>61540</v>
          </cell>
          <cell r="AZ12">
            <v>38480</v>
          </cell>
          <cell r="BA12">
            <v>555</v>
          </cell>
          <cell r="BB12">
            <v>1300</v>
          </cell>
        </row>
        <row r="13">
          <cell r="AO13">
            <v>175480</v>
          </cell>
          <cell r="AX13">
            <v>281720</v>
          </cell>
          <cell r="AY13">
            <v>62040</v>
          </cell>
          <cell r="AZ13">
            <v>28860</v>
          </cell>
          <cell r="BA13">
            <v>220</v>
          </cell>
          <cell r="BB13">
            <v>1800</v>
          </cell>
        </row>
        <row r="14">
          <cell r="AO14">
            <v>80699.399999999994</v>
          </cell>
          <cell r="AX14">
            <v>281720</v>
          </cell>
          <cell r="AY14">
            <v>62040</v>
          </cell>
          <cell r="AZ14">
            <v>37859</v>
          </cell>
          <cell r="BA14">
            <v>50</v>
          </cell>
          <cell r="BB14">
            <v>3340</v>
          </cell>
        </row>
        <row r="15">
          <cell r="AX15">
            <v>281720</v>
          </cell>
          <cell r="AY15">
            <v>62040</v>
          </cell>
          <cell r="AZ15">
            <v>38480</v>
          </cell>
          <cell r="BA15">
            <v>925</v>
          </cell>
          <cell r="BB15">
            <v>300</v>
          </cell>
        </row>
      </sheetData>
      <sheetData sheetId="2">
        <row r="4">
          <cell r="BK4">
            <v>459502.87</v>
          </cell>
        </row>
        <row r="5">
          <cell r="BK5">
            <v>451153.61</v>
          </cell>
        </row>
        <row r="6">
          <cell r="BK6">
            <v>451694.55</v>
          </cell>
        </row>
        <row r="7">
          <cell r="BK7">
            <v>395146.18</v>
          </cell>
        </row>
        <row r="8">
          <cell r="BK8">
            <v>402572.95999999996</v>
          </cell>
        </row>
        <row r="9">
          <cell r="BK9">
            <v>415331.57</v>
          </cell>
        </row>
        <row r="10">
          <cell r="BK10">
            <v>423995.04</v>
          </cell>
        </row>
        <row r="11">
          <cell r="BK11">
            <v>436651.07999999996</v>
          </cell>
        </row>
        <row r="12">
          <cell r="BK12">
            <v>421525.89999999997</v>
          </cell>
        </row>
        <row r="13">
          <cell r="BK13">
            <v>418905.35</v>
          </cell>
        </row>
        <row r="14">
          <cell r="BK14">
            <v>418914.67</v>
          </cell>
        </row>
        <row r="15">
          <cell r="BK15">
            <v>331679.31</v>
          </cell>
        </row>
      </sheetData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ค่าล่วงเวลา"/>
      <sheetName val="2ค่าเบี้ยประชุมฯ"/>
      <sheetName val="3ค่าเบี้ยเลี้ยงพาหนะ"/>
      <sheetName val="4ค่าซ่อมแซมรถราชการ"/>
      <sheetName val="5ค่าซ่อมครุภัณฑ์ สนง. "/>
      <sheetName val="6ค่าซ่อมคอมฯ"/>
      <sheetName val="7ค่าจ้างเหมาบริการ บุคคล "/>
      <sheetName val="8ค่าจ้างพิมพ์หนังสือ"/>
      <sheetName val="9คชจ.ในการอบรมสัมมนา"/>
      <sheetName val="10ค่าอาหารว่างฯ"/>
      <sheetName val="11 ค่าโทรศัพท์เคลื่อนที่"/>
      <sheetName val="12ค่าวัสดุ สนง."/>
      <sheetName val="14ค่าวัสดุวิทยาศาสตร์"/>
      <sheetName val="13ค่าน้ำมันฯ"/>
      <sheetName val="15ค่าวัสดุคอมฯ"/>
      <sheetName val="สรุป"/>
      <sheetName val="16.โครงการ"/>
      <sheetName val="สรุป ผอ.ศสส ผชช."/>
      <sheetName val="สรุป ผอ.ศสส ผชช. รายเดือ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I4">
            <v>0</v>
          </cell>
        </row>
        <row r="5">
          <cell r="I5">
            <v>32003.7</v>
          </cell>
        </row>
        <row r="6">
          <cell r="I6"/>
        </row>
        <row r="7">
          <cell r="I7"/>
        </row>
        <row r="8">
          <cell r="I8"/>
        </row>
        <row r="9">
          <cell r="I9">
            <v>0</v>
          </cell>
        </row>
        <row r="10">
          <cell r="I10">
            <v>64788.5</v>
          </cell>
        </row>
        <row r="11">
          <cell r="I11"/>
        </row>
        <row r="12">
          <cell r="I12"/>
        </row>
        <row r="13">
          <cell r="I13"/>
        </row>
        <row r="14">
          <cell r="I14">
            <v>12369.2</v>
          </cell>
        </row>
        <row r="15">
          <cell r="I15">
            <v>48955.8</v>
          </cell>
        </row>
      </sheetData>
      <sheetData sheetId="15"/>
      <sheetData sheetId="16"/>
      <sheetData sheetId="17">
        <row r="4">
          <cell r="B4">
            <v>204499.87</v>
          </cell>
        </row>
      </sheetData>
      <sheetData sheetId="18">
        <row r="5">
          <cell r="C5">
            <v>55503.7</v>
          </cell>
        </row>
        <row r="6">
          <cell r="C6">
            <v>0</v>
          </cell>
        </row>
        <row r="7">
          <cell r="C7">
            <v>13910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65590.17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2930</v>
          </cell>
        </row>
        <row r="14">
          <cell r="C14">
            <v>12709.2</v>
          </cell>
        </row>
        <row r="15">
          <cell r="C15">
            <v>53856.800000000003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ค่าล่วงเวลา"/>
      <sheetName val="2ค่าเบี้ยประชุมฯ"/>
      <sheetName val="3ค่าเบี้ยเลี้ยงพาหนะ"/>
      <sheetName val="4ค่าซ่อมแซมรถราชการ"/>
      <sheetName val="5ค่าซ่อมครุภัณฑ์ สนง. "/>
      <sheetName val="6ค่าซ่อมคอมฯ"/>
      <sheetName val="7ค่าจ้างเหมาบริการ บุคคล "/>
      <sheetName val="8ค่าจ้างพิมพ์หนังสือ"/>
      <sheetName val="9คชจ.ในการอบรมสัมมนา"/>
      <sheetName val="10ค่าอาหารว่างฯ"/>
      <sheetName val="11. ค่าโทรศัพท์เคลือนที่"/>
      <sheetName val="12ค่าวัสดุ สนง."/>
      <sheetName val="13ค่าน้ำมันฯ"/>
      <sheetName val="14ค่าวัสดุวิทยาศาสตร์"/>
      <sheetName val="15ค่าวัสดุคอมฯ"/>
      <sheetName val="16.โครงการ"/>
      <sheetName val="สรุป"/>
      <sheetName val=" สรุป ฝบท."/>
      <sheetName val=" สรุป ฝบท. รายเดือ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1">
          <cell r="L201">
            <v>0</v>
          </cell>
        </row>
      </sheetData>
      <sheetData sheetId="16"/>
      <sheetData sheetId="17">
        <row r="4">
          <cell r="B4">
            <v>792242.22</v>
          </cell>
        </row>
      </sheetData>
      <sheetData sheetId="18">
        <row r="4">
          <cell r="C4">
            <v>2295</v>
          </cell>
        </row>
        <row r="5">
          <cell r="C5">
            <v>35304.089999999997</v>
          </cell>
        </row>
        <row r="6">
          <cell r="C6">
            <v>45097.440000000002</v>
          </cell>
        </row>
        <row r="7">
          <cell r="C7">
            <v>3880</v>
          </cell>
        </row>
        <row r="8">
          <cell r="C8">
            <v>26550.2</v>
          </cell>
        </row>
        <row r="9">
          <cell r="C9">
            <v>13756.29</v>
          </cell>
        </row>
        <row r="10">
          <cell r="C10">
            <v>77020.649999999994</v>
          </cell>
        </row>
        <row r="11">
          <cell r="C11">
            <v>14507.5</v>
          </cell>
        </row>
        <row r="12">
          <cell r="C12">
            <v>40480.49</v>
          </cell>
        </row>
        <row r="13">
          <cell r="C13">
            <v>22526.33</v>
          </cell>
        </row>
        <row r="14">
          <cell r="C14">
            <v>94566.53</v>
          </cell>
        </row>
        <row r="15">
          <cell r="C15">
            <v>416257.7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ค่าล่วงเวลา"/>
      <sheetName val="2ค่าเบี้ยประชุมฯ"/>
      <sheetName val="3ค่าเบี้ยเลี้ยงพาหนะ"/>
      <sheetName val="4ค่าซ่อมแซมรถราชการ"/>
      <sheetName val="5ค่าซ่อมครุภัณฑ์ สนง. "/>
      <sheetName val="6ค่าซ่อมคอมฯ"/>
      <sheetName val="7ค่าจ้างเหมาบริการ บุคคล "/>
      <sheetName val="8ค่าจ้างพิมพ์หนังสือ"/>
      <sheetName val="9คชจ.ในการอบรมสัมมนา"/>
      <sheetName val="10ค่าอาหารว่างฯ"/>
      <sheetName val="11ค่าโทรศัพท์เคลื่อนที่"/>
      <sheetName val="12ค่าวัสดุ สนง."/>
      <sheetName val="13ค่าน้ำมันฯ"/>
      <sheetName val="14ค่าวัสดุวิทยาศาสตร์"/>
      <sheetName val="15ค่าวัสดุคอมฯ"/>
      <sheetName val="16.โครงการ"/>
      <sheetName val="16.โครงการ รายเดือน"/>
      <sheetName val="สรุป สสป."/>
      <sheetName val="สรุป สสป. รายเดือน"/>
      <sheetName val="สรุ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9">
          <cell r="L69">
            <v>0</v>
          </cell>
        </row>
      </sheetData>
      <sheetData sheetId="16">
        <row r="20">
          <cell r="P20">
            <v>3353.38</v>
          </cell>
          <cell r="Q20">
            <v>0</v>
          </cell>
          <cell r="R20">
            <v>12060</v>
          </cell>
          <cell r="S20">
            <v>0</v>
          </cell>
          <cell r="T20">
            <v>6440</v>
          </cell>
          <cell r="U20">
            <v>0</v>
          </cell>
          <cell r="V20">
            <v>11600</v>
          </cell>
          <cell r="W20">
            <v>0</v>
          </cell>
          <cell r="X20">
            <v>0</v>
          </cell>
          <cell r="Y20">
            <v>79750</v>
          </cell>
          <cell r="Z20">
            <v>28069</v>
          </cell>
        </row>
      </sheetData>
      <sheetData sheetId="17">
        <row r="4">
          <cell r="B4">
            <v>30275.38</v>
          </cell>
        </row>
      </sheetData>
      <sheetData sheetId="18">
        <row r="4">
          <cell r="C4">
            <v>0</v>
          </cell>
        </row>
        <row r="5">
          <cell r="C5">
            <v>1530</v>
          </cell>
        </row>
        <row r="6">
          <cell r="C6">
            <v>6054.8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770</v>
          </cell>
        </row>
        <row r="10">
          <cell r="C10">
            <v>480.43</v>
          </cell>
        </row>
        <row r="11">
          <cell r="C11">
            <v>19098.43</v>
          </cell>
        </row>
        <row r="12">
          <cell r="C12">
            <v>900.43000000000006</v>
          </cell>
        </row>
        <row r="13">
          <cell r="C13">
            <v>480.43</v>
          </cell>
        </row>
        <row r="14">
          <cell r="C14">
            <v>480.43</v>
          </cell>
        </row>
        <row r="15">
          <cell r="C15">
            <v>480.43</v>
          </cell>
        </row>
      </sheetData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ค่าล่วงเวลา"/>
      <sheetName val="2ค่าเบี้ยประชุมฯ"/>
      <sheetName val="3ค่าเบี้ยเลี้ยงพาหนะ"/>
      <sheetName val="4ค่าซ่อมแซมรถราชการ"/>
      <sheetName val="5ค่าซ่อมครุภัณฑ์ สนง. "/>
      <sheetName val="6ค่าซ่อมคอมฯ"/>
      <sheetName val="7ค่าจ้างเหมาบริการ บุคคล "/>
      <sheetName val="8ค่าจ้างพิมพ์หนังสือ"/>
      <sheetName val="9คชจ.ในการอบรมสัมมนา"/>
      <sheetName val="10ค่าอาหารว่างฯ"/>
      <sheetName val="11ค่าโทรศัพท์เคลื่อนที่ "/>
      <sheetName val="12ค่าวัสดุ สนง."/>
      <sheetName val="13ค่าน้ำมันฯ"/>
      <sheetName val="14ค่าวัสดุวิทยาศาสตร์"/>
      <sheetName val="15ค่าวัสดุคอมฯ"/>
      <sheetName val="สรุป"/>
      <sheetName val="16.โครงการ"/>
      <sheetName val="16.โครงการ แยกงบรายจ่าย"/>
      <sheetName val="16.โครงการ แยกกิจกรรม"/>
      <sheetName val="16.โครงการ รายเดือน"/>
      <sheetName val="สรุป สภท."/>
      <sheetName val="สรุป สภท. รายเดือ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F4">
            <v>0</v>
          </cell>
        </row>
      </sheetData>
      <sheetData sheetId="17"/>
      <sheetData sheetId="18"/>
      <sheetData sheetId="19">
        <row r="20">
          <cell r="DX20">
            <v>0</v>
          </cell>
          <cell r="DY20">
            <v>0</v>
          </cell>
          <cell r="DZ20">
            <v>0</v>
          </cell>
          <cell r="EA20"/>
          <cell r="EB20">
            <v>0</v>
          </cell>
          <cell r="EC20"/>
          <cell r="ED20">
            <v>0</v>
          </cell>
          <cell r="EE20"/>
          <cell r="EF20">
            <v>30000</v>
          </cell>
          <cell r="EG20"/>
          <cell r="EH20">
            <v>264800.8</v>
          </cell>
          <cell r="EI20"/>
          <cell r="EJ20">
            <v>51930</v>
          </cell>
          <cell r="EK20"/>
          <cell r="EL20">
            <v>238551.9</v>
          </cell>
          <cell r="EM20">
            <v>246500</v>
          </cell>
          <cell r="EN20">
            <v>562208.19999999995</v>
          </cell>
          <cell r="EO20"/>
          <cell r="EP20">
            <v>451026</v>
          </cell>
          <cell r="EQ20">
            <v>0</v>
          </cell>
          <cell r="ER20"/>
          <cell r="ES20">
            <v>0</v>
          </cell>
          <cell r="ET20">
            <v>0</v>
          </cell>
          <cell r="EU20">
            <v>0</v>
          </cell>
        </row>
      </sheetData>
      <sheetData sheetId="20">
        <row r="4">
          <cell r="B4">
            <v>345725.8</v>
          </cell>
        </row>
      </sheetData>
      <sheetData sheetId="21">
        <row r="4">
          <cell r="C4">
            <v>5100</v>
          </cell>
        </row>
        <row r="5">
          <cell r="C5">
            <v>1520</v>
          </cell>
        </row>
        <row r="6">
          <cell r="C6">
            <v>19700</v>
          </cell>
        </row>
        <row r="7">
          <cell r="C7">
            <v>2700</v>
          </cell>
        </row>
        <row r="8">
          <cell r="C8">
            <v>0</v>
          </cell>
        </row>
        <row r="9">
          <cell r="C9">
            <v>28620.799999999999</v>
          </cell>
        </row>
        <row r="10">
          <cell r="C10">
            <v>143918</v>
          </cell>
        </row>
        <row r="11">
          <cell r="C11">
            <v>41980</v>
          </cell>
        </row>
        <row r="12">
          <cell r="C12">
            <v>36525</v>
          </cell>
        </row>
        <row r="13">
          <cell r="C13">
            <v>5992</v>
          </cell>
        </row>
        <row r="14">
          <cell r="C14">
            <v>960</v>
          </cell>
        </row>
        <row r="15">
          <cell r="C15">
            <v>58710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ค่าล่วงเวลา"/>
      <sheetName val="2ค่าเบี้ยประชุมฯ"/>
      <sheetName val="3ค่าเบี้ยเลี้ยงพาหนะ"/>
      <sheetName val="4ค่าซ่อมแซมรถราชการ"/>
      <sheetName val="5ค่าซ่อมครุภัณฑ์ สนง. "/>
      <sheetName val="6ค่าซ่อมคอมฯ"/>
      <sheetName val="7ค่าจ้างเหมาบริการ บุคคล "/>
      <sheetName val="8ค่าจ้างพิมพ์หนังสือ"/>
      <sheetName val="9คชจ.ในการอบรมสัมมนา"/>
      <sheetName val="10ค่าอาหารว่างฯ"/>
      <sheetName val="11ค่าโทรศัพท์เคลื่อนที่"/>
      <sheetName val="12ค่าวัสดุ สนง."/>
      <sheetName val="13ค่าน้ำมันฯ"/>
      <sheetName val="14ค่าวัสดุวิทยาศาสตร์"/>
      <sheetName val="15ค่าวัสดุคอมฯ"/>
      <sheetName val="สรุป"/>
      <sheetName val="16.โครงการ"/>
      <sheetName val="16.โครงการรายเดือน"/>
      <sheetName val="สรุป สทส."/>
      <sheetName val="สรุป สทส. รายเดือ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BB4">
            <v>0</v>
          </cell>
        </row>
        <row r="36">
          <cell r="BB36">
            <v>0</v>
          </cell>
          <cell r="BC36">
            <v>0</v>
          </cell>
        </row>
      </sheetData>
      <sheetData sheetId="17"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10788565</v>
          </cell>
          <cell r="M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200222.2</v>
          </cell>
          <cell r="X20">
            <v>0</v>
          </cell>
          <cell r="Y20">
            <v>400444.4</v>
          </cell>
          <cell r="Z20">
            <v>0</v>
          </cell>
          <cell r="AA20">
            <v>800888.8</v>
          </cell>
          <cell r="CV20">
            <v>13938380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2053200</v>
          </cell>
          <cell r="DB20">
            <v>8897200</v>
          </cell>
          <cell r="DC20">
            <v>0</v>
          </cell>
          <cell r="DD20">
            <v>0</v>
          </cell>
          <cell r="DE20">
            <v>2737600</v>
          </cell>
          <cell r="DF20">
            <v>0</v>
          </cell>
          <cell r="DG20">
            <v>0</v>
          </cell>
        </row>
      </sheetData>
      <sheetData sheetId="18">
        <row r="4">
          <cell r="B4">
            <v>501707.5</v>
          </cell>
        </row>
      </sheetData>
      <sheetData sheetId="19">
        <row r="4">
          <cell r="C4">
            <v>53100</v>
          </cell>
        </row>
        <row r="5">
          <cell r="C5">
            <v>21310</v>
          </cell>
        </row>
        <row r="6">
          <cell r="C6">
            <v>48000</v>
          </cell>
        </row>
        <row r="7">
          <cell r="C7">
            <v>39095.5</v>
          </cell>
        </row>
        <row r="8">
          <cell r="C8">
            <v>72870</v>
          </cell>
        </row>
        <row r="9">
          <cell r="C9">
            <v>13510</v>
          </cell>
          <cell r="T9">
            <v>2053200</v>
          </cell>
        </row>
        <row r="10">
          <cell r="C10">
            <v>29900</v>
          </cell>
        </row>
        <row r="11">
          <cell r="C11">
            <v>47685.2</v>
          </cell>
        </row>
        <row r="12">
          <cell r="C12">
            <v>48740</v>
          </cell>
        </row>
        <row r="13">
          <cell r="C13">
            <v>44640</v>
          </cell>
        </row>
        <row r="14">
          <cell r="C14">
            <v>16200</v>
          </cell>
        </row>
        <row r="15">
          <cell r="C15">
            <v>66656.800000000003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ค่าล่วงเวลา"/>
      <sheetName val="2ค่าเบี้ยประชุมฯ"/>
      <sheetName val="3ค่าเบี้ยเลี้ยงพาหนะ"/>
      <sheetName val="4ค่าซ่อมแซมรถราชการ"/>
      <sheetName val="5ค่าซ่อมครุภัณฑ์ สนง. "/>
      <sheetName val="6ค่าซ่อมคอมฯ"/>
      <sheetName val="7ค่าจ้างเหมาบริการ บุคคล "/>
      <sheetName val="8ค่าจ้างพิมพ์หนังสือ"/>
      <sheetName val="9คชจ.ในการอบรมสัมมนา"/>
      <sheetName val="10ค่าอาหารว่างฯ"/>
      <sheetName val="11ค่าโทรศัพท์เคลื่อนที่"/>
      <sheetName val="12ค่าวัสดุ สนง."/>
      <sheetName val="13ค่าน้ำมันฯ"/>
      <sheetName val="14ค่าวัสดุวิทยาศาสตร์"/>
      <sheetName val="15ค่าวัสดุคอมฯ"/>
      <sheetName val="สรุป"/>
      <sheetName val="16.โครงการ"/>
      <sheetName val="16.โครงการรายเดือน"/>
      <sheetName val="สรุป สกก."/>
      <sheetName val="สรุป สกก.รายเดือ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T4">
            <v>0</v>
          </cell>
        </row>
      </sheetData>
      <sheetData sheetId="17">
        <row r="20">
          <cell r="BM20">
            <v>16460</v>
          </cell>
        </row>
      </sheetData>
      <sheetData sheetId="18">
        <row r="4">
          <cell r="B4">
            <v>98155</v>
          </cell>
        </row>
      </sheetData>
      <sheetData sheetId="19">
        <row r="4">
          <cell r="C4">
            <v>0</v>
          </cell>
        </row>
        <row r="5">
          <cell r="C5">
            <v>560</v>
          </cell>
        </row>
        <row r="6">
          <cell r="C6">
            <v>500</v>
          </cell>
        </row>
        <row r="7">
          <cell r="C7">
            <v>0</v>
          </cell>
        </row>
        <row r="8">
          <cell r="C8">
            <v>25500</v>
          </cell>
        </row>
        <row r="9">
          <cell r="C9">
            <v>595</v>
          </cell>
        </row>
        <row r="10">
          <cell r="C10">
            <v>1926</v>
          </cell>
        </row>
        <row r="11">
          <cell r="C11">
            <v>34874</v>
          </cell>
        </row>
        <row r="12">
          <cell r="C12">
            <v>0</v>
          </cell>
        </row>
        <row r="13">
          <cell r="C13">
            <v>4805</v>
          </cell>
        </row>
        <row r="14">
          <cell r="C14">
            <v>19795</v>
          </cell>
        </row>
        <row r="15">
          <cell r="C15">
            <v>9600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ค่าล่วงเวลา"/>
      <sheetName val="2ค่าเบี้ยประชุมฯ"/>
      <sheetName val="3ค่าเบี้ยเลี้ยงพาหนะ"/>
      <sheetName val="4ค่าซ่อมแซมรถราชการ"/>
      <sheetName val="5ค่าซ่อมครุภัณฑ์ สนง. "/>
      <sheetName val="6ค่าซ่อมคอมฯ"/>
      <sheetName val="7ค่าจ้างเหมาบริการ บุคคล "/>
      <sheetName val="8ค่าจ้างพิมพ์หนังสือ"/>
      <sheetName val="9คชจ.ในการอบรมสัมมนา"/>
      <sheetName val="10ค่าอาหารว่างฯ"/>
      <sheetName val="11ค่าโทรศัพท์เคลื่อนที่"/>
      <sheetName val="12ค่าวัสดุ สนง."/>
      <sheetName val="13ค่าน้ำมันฯ"/>
      <sheetName val="14ค่าวัสดุวิทยาศาสตร์"/>
      <sheetName val="15ค่าวัสดุคอมฯ"/>
      <sheetName val="สรุป"/>
      <sheetName val="16.โครงการ"/>
      <sheetName val="16.โครงการ รายเดือน"/>
      <sheetName val="สรุป สปร."/>
      <sheetName val="สรุป สปร. รายเดือน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9">
          <cell r="M69">
            <v>0</v>
          </cell>
        </row>
      </sheetData>
      <sheetData sheetId="17">
        <row r="20">
          <cell r="P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</sheetData>
      <sheetData sheetId="18">
        <row r="4">
          <cell r="B4">
            <v>470897.2</v>
          </cell>
        </row>
      </sheetData>
      <sheetData sheetId="19">
        <row r="4">
          <cell r="C4">
            <v>32285.200000000001</v>
          </cell>
        </row>
        <row r="5">
          <cell r="C5">
            <v>1550</v>
          </cell>
        </row>
        <row r="6">
          <cell r="C6">
            <v>29350</v>
          </cell>
        </row>
        <row r="7">
          <cell r="C7">
            <v>42808</v>
          </cell>
        </row>
        <row r="8">
          <cell r="C8">
            <v>57600</v>
          </cell>
        </row>
        <row r="9">
          <cell r="C9">
            <v>84154</v>
          </cell>
        </row>
        <row r="10">
          <cell r="C10">
            <v>9450</v>
          </cell>
        </row>
        <row r="11">
          <cell r="C11">
            <v>68410</v>
          </cell>
        </row>
        <row r="12">
          <cell r="C12">
            <v>66640</v>
          </cell>
        </row>
        <row r="13">
          <cell r="C13">
            <v>5100</v>
          </cell>
        </row>
        <row r="14">
          <cell r="C14">
            <v>66300</v>
          </cell>
        </row>
        <row r="15">
          <cell r="C15">
            <v>7250</v>
          </cell>
        </row>
      </sheetData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ค่าล่วงเวลา"/>
      <sheetName val="2ค่าเบี้ยประชุมฯ"/>
      <sheetName val="3ค่าเบี้ยเลี้ยงพาหนะ"/>
      <sheetName val="4ค่าซ่อมแซมรถราชการ"/>
      <sheetName val="5ค่าซ่อมครุภัณฑ์ สนง. "/>
      <sheetName val="6ค่าซ่อมคอมฯ"/>
      <sheetName val="7ค่าจ้างเหมาบริการ บุคคล "/>
      <sheetName val="8ค่าจ้างพิมพ์หนังสือ"/>
      <sheetName val="9คชจ.ในการอบรมสัมมนา"/>
      <sheetName val="10ค่าอาหารว่างฯ"/>
      <sheetName val="11 ค่าโทรศัพท์เคลื่อนที่"/>
      <sheetName val="12ค่าวัสดุ สนง."/>
      <sheetName val="13ค่าน้ำมันฯ"/>
      <sheetName val="14ค่าวัสดุวิทยาศาสตร์"/>
      <sheetName val="15ค่าวัสดุคอมฯ"/>
      <sheetName val="สรุป"/>
      <sheetName val="16.โครงการ"/>
      <sheetName val="16.โครงการ รายเดือน"/>
      <sheetName val="สรุป สพก."/>
      <sheetName val="สรุป สพก.รายเดือ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2">
          <cell r="AU102">
            <v>24000</v>
          </cell>
        </row>
        <row r="104">
          <cell r="AV104">
            <v>5250</v>
          </cell>
        </row>
        <row r="105">
          <cell r="AV105">
            <v>16300</v>
          </cell>
        </row>
      </sheetData>
      <sheetData sheetId="17">
        <row r="20">
          <cell r="CH20">
            <v>0</v>
          </cell>
          <cell r="CI20">
            <v>5720</v>
          </cell>
          <cell r="CJ20">
            <v>46190</v>
          </cell>
          <cell r="CK20">
            <v>0</v>
          </cell>
          <cell r="CN20">
            <v>0</v>
          </cell>
          <cell r="CP20"/>
          <cell r="CQ20">
            <v>0</v>
          </cell>
          <cell r="CR20">
            <v>0</v>
          </cell>
          <cell r="CS20">
            <v>27960.5</v>
          </cell>
          <cell r="CT20">
            <v>8490</v>
          </cell>
          <cell r="CU20">
            <v>44050</v>
          </cell>
          <cell r="CW20">
            <v>75180</v>
          </cell>
          <cell r="CX20">
            <v>0</v>
          </cell>
          <cell r="CY20">
            <v>37125</v>
          </cell>
          <cell r="CZ20" t="e">
            <v>#REF!</v>
          </cell>
          <cell r="DA20">
            <v>23700</v>
          </cell>
        </row>
      </sheetData>
      <sheetData sheetId="18">
        <row r="4">
          <cell r="B4">
            <v>165577.79999999999</v>
          </cell>
        </row>
      </sheetData>
      <sheetData sheetId="19">
        <row r="4">
          <cell r="C4">
            <v>308</v>
          </cell>
        </row>
        <row r="5">
          <cell r="C5">
            <v>21733.5</v>
          </cell>
        </row>
        <row r="6">
          <cell r="C6">
            <v>21965</v>
          </cell>
        </row>
        <row r="7">
          <cell r="C7">
            <v>1290</v>
          </cell>
        </row>
        <row r="8">
          <cell r="C8">
            <v>2750</v>
          </cell>
          <cell r="R8">
            <v>124470.2</v>
          </cell>
        </row>
        <row r="9">
          <cell r="C9">
            <v>0</v>
          </cell>
          <cell r="R9">
            <v>60950</v>
          </cell>
        </row>
        <row r="10">
          <cell r="C10">
            <v>15162.3</v>
          </cell>
        </row>
        <row r="11">
          <cell r="C11">
            <v>33147.5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58796.5</v>
          </cell>
        </row>
        <row r="15">
          <cell r="C15">
            <v>10425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ค่าล่วงเวลา"/>
      <sheetName val="2ค่าเบี้ยประชุมฯ"/>
      <sheetName val="3ค่าเบี้ยเลี้ยงพาหนะ"/>
      <sheetName val="4ค่าซ่อมแซมรถราชการ"/>
      <sheetName val="5ค่าซ่อมครุภัณฑ์ สนง. "/>
      <sheetName val="6ค่าซ่อมคอมฯ"/>
      <sheetName val="7ค่าจ้างเหมาบริการ บุคคล "/>
      <sheetName val="8ค่าจ้างพิมพ์หนังสือ"/>
      <sheetName val="9คชจ.ในการอบรมสัมมนา"/>
      <sheetName val="10ค่าอาหารว่างฯ"/>
      <sheetName val="11 ค่าโทรศัพท์เคลื่อนที่"/>
      <sheetName val="12ค่าวัสดุ สนง."/>
      <sheetName val="13ค่าน้ำมันฯ"/>
      <sheetName val="14ค่าวัสดุวิทยาศาสตร์"/>
      <sheetName val="15ค่าวัสดุคอมฯ"/>
      <sheetName val="สรุป"/>
      <sheetName val="16.โครงการ"/>
      <sheetName val="16.โครงการ รายเดือน"/>
      <sheetName val="สรุป สปข."/>
      <sheetName val="สรุป สปข.รายเดือ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0"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V20">
            <v>0</v>
          </cell>
          <cell r="CW20">
            <v>0</v>
          </cell>
          <cell r="CZ20">
            <v>0</v>
          </cell>
          <cell r="DA20">
            <v>1575</v>
          </cell>
          <cell r="DB20">
            <v>700</v>
          </cell>
          <cell r="DC20">
            <v>0</v>
          </cell>
          <cell r="DD20">
            <v>433874.3</v>
          </cell>
          <cell r="DE20">
            <v>36594</v>
          </cell>
          <cell r="DF20">
            <v>14380</v>
          </cell>
          <cell r="DG20">
            <v>132490</v>
          </cell>
        </row>
      </sheetData>
      <sheetData sheetId="18">
        <row r="4">
          <cell r="B4">
            <v>238797.57</v>
          </cell>
          <cell r="O4">
            <v>0</v>
          </cell>
        </row>
      </sheetData>
      <sheetData sheetId="19">
        <row r="4">
          <cell r="C4">
            <v>0</v>
          </cell>
        </row>
        <row r="5">
          <cell r="C5">
            <v>0</v>
          </cell>
        </row>
        <row r="6">
          <cell r="C6">
            <v>4243.07</v>
          </cell>
          <cell r="T6">
            <v>770</v>
          </cell>
        </row>
        <row r="7">
          <cell r="C7">
            <v>0</v>
          </cell>
          <cell r="T7">
            <v>59370</v>
          </cell>
        </row>
        <row r="8">
          <cell r="C8">
            <v>700</v>
          </cell>
        </row>
        <row r="9">
          <cell r="C9">
            <v>175465</v>
          </cell>
        </row>
        <row r="10">
          <cell r="C10">
            <v>18735</v>
          </cell>
        </row>
        <row r="11">
          <cell r="C11">
            <v>33459.5</v>
          </cell>
        </row>
        <row r="12">
          <cell r="C12">
            <v>2030</v>
          </cell>
        </row>
        <row r="13">
          <cell r="C13">
            <v>735</v>
          </cell>
        </row>
        <row r="14">
          <cell r="C14">
            <v>3430</v>
          </cell>
        </row>
        <row r="15">
          <cell r="C15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ชี้แจงส่วนที่ขอปรับแผนเงิน"/>
      <sheetName val="สรุป งปม.เหลือจ่ายให้ รธก."/>
      <sheetName val="สรุปงบ เหลือจ่ายจากส่วน"/>
      <sheetName val="สรุปการเบิกจ่าย"/>
      <sheetName val="งบลงทุน(พื้นฐาน)"/>
      <sheetName val="งานพื้นฐาน"/>
      <sheetName val="สรุปการใช้จ่ายเงินพื้นฐาน"/>
      <sheetName val="งานพื้นฐาน 65"/>
      <sheetName val="882 ปรับใหม่"/>
      <sheetName val="บูฯ เกษตร(882)"/>
      <sheetName val="ยุทธฯ (ต้นทุน)"/>
      <sheetName val="บูฯเกษตร(อุปสงค์)"/>
      <sheetName val="บูร DE อัจฉริยะ"/>
      <sheetName val="สรุป"/>
      <sheetName val="ฝบท.(เดิม)ส่งแผนฯ"/>
      <sheetName val="สรุป(ใหม่)"/>
      <sheetName val="ฝบท.(ใหม่)ปรับเท่าสรุปเงิน"/>
      <sheetName val="Sheet1"/>
      <sheetName val="บูร DE ระยะ 2"/>
      <sheetName val="ยุทธฯ (เกษตรกรกลาง)"/>
      <sheetName val="ยุทธฯ (ต้นทุน) 64"/>
      <sheetName val="ยุทธฯ (Big data)"/>
      <sheetName val="ยุทธฯ จัดทำสารสนเทศฯ"/>
      <sheetName val="ยุทธฯ ประยุกต์ใช้เทคโนฯ (ใหม่)"/>
      <sheetName val="ยุทธฯ ประยุกต์ใช้เทคโนฯ(เดิม)"/>
      <sheetName val="ยุทธฯ Cyber"/>
      <sheetName val="บูรฐานราก 882"/>
      <sheetName val="บันทึกช่วยจำ"/>
      <sheetName val="ยุทธฯ (ข้อมูลขนาดใหญ่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3">
          <cell r="E13">
            <v>30000</v>
          </cell>
        </row>
        <row r="14">
          <cell r="E14">
            <v>200000</v>
          </cell>
        </row>
        <row r="18">
          <cell r="F18">
            <v>48720</v>
          </cell>
        </row>
        <row r="20">
          <cell r="M20">
            <v>50000</v>
          </cell>
          <cell r="N20">
            <v>47697</v>
          </cell>
        </row>
        <row r="38">
          <cell r="F38">
            <v>254410</v>
          </cell>
        </row>
        <row r="46">
          <cell r="H46">
            <v>54000</v>
          </cell>
        </row>
        <row r="152">
          <cell r="F152">
            <v>20000</v>
          </cell>
          <cell r="G152">
            <v>20000</v>
          </cell>
          <cell r="H152">
            <v>20000</v>
          </cell>
        </row>
        <row r="157">
          <cell r="D157">
            <v>5000</v>
          </cell>
          <cell r="E157">
            <v>5000</v>
          </cell>
          <cell r="F157">
            <v>5000</v>
          </cell>
          <cell r="G157">
            <v>5000</v>
          </cell>
          <cell r="H157">
            <v>5000</v>
          </cell>
          <cell r="I157">
            <v>5000</v>
          </cell>
          <cell r="J157">
            <v>5000</v>
          </cell>
          <cell r="L157">
            <v>20000</v>
          </cell>
          <cell r="M157">
            <v>20000</v>
          </cell>
          <cell r="N157">
            <v>20000</v>
          </cell>
          <cell r="O157">
            <v>18648</v>
          </cell>
        </row>
        <row r="165">
          <cell r="J165">
            <v>145440</v>
          </cell>
        </row>
      </sheetData>
      <sheetData sheetId="23"/>
      <sheetData sheetId="24">
        <row r="14">
          <cell r="H14">
            <v>1520000</v>
          </cell>
        </row>
        <row r="15">
          <cell r="I15">
            <v>890000</v>
          </cell>
        </row>
        <row r="16">
          <cell r="K16">
            <v>490000</v>
          </cell>
        </row>
        <row r="17">
          <cell r="I17">
            <v>250000</v>
          </cell>
        </row>
        <row r="19">
          <cell r="I19">
            <v>100000</v>
          </cell>
        </row>
        <row r="22">
          <cell r="D22">
            <v>45000</v>
          </cell>
          <cell r="E22">
            <v>45000</v>
          </cell>
          <cell r="F22">
            <v>45000</v>
          </cell>
          <cell r="G22">
            <v>45000</v>
          </cell>
          <cell r="H22">
            <v>45000</v>
          </cell>
          <cell r="I22">
            <v>45000</v>
          </cell>
          <cell r="J22">
            <v>45000</v>
          </cell>
          <cell r="K22">
            <v>145000</v>
          </cell>
          <cell r="L22">
            <v>134000</v>
          </cell>
          <cell r="M22">
            <v>125000</v>
          </cell>
          <cell r="N22">
            <v>134000</v>
          </cell>
          <cell r="O22">
            <v>101500</v>
          </cell>
        </row>
        <row r="23">
          <cell r="K23">
            <v>7000</v>
          </cell>
          <cell r="L23">
            <v>14000</v>
          </cell>
          <cell r="M23">
            <v>7000</v>
          </cell>
          <cell r="N23">
            <v>7000</v>
          </cell>
        </row>
        <row r="24">
          <cell r="O24">
            <v>19500</v>
          </cell>
        </row>
        <row r="25">
          <cell r="M25">
            <v>80000</v>
          </cell>
        </row>
        <row r="26">
          <cell r="G26">
            <v>200000</v>
          </cell>
          <cell r="M26">
            <v>200000</v>
          </cell>
        </row>
        <row r="27">
          <cell r="L27">
            <v>350000</v>
          </cell>
          <cell r="M27">
            <v>315000</v>
          </cell>
        </row>
        <row r="28">
          <cell r="L28">
            <v>23000</v>
          </cell>
          <cell r="N28">
            <v>23000</v>
          </cell>
        </row>
      </sheetData>
      <sheetData sheetId="25">
        <row r="14">
          <cell r="I14">
            <v>5621240</v>
          </cell>
        </row>
        <row r="15">
          <cell r="L15">
            <v>8431860</v>
          </cell>
        </row>
      </sheetData>
      <sheetData sheetId="26"/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วม"/>
      <sheetName val="สพร."/>
      <sheetName val="สพส."/>
      <sheetName val="สสป"/>
      <sheetName val="สพก."/>
      <sheetName val="สปร"/>
      <sheetName val="สกก"/>
      <sheetName val="สปข"/>
      <sheetName val="สภท"/>
      <sheetName val="สทส"/>
      <sheetName val="ฝบท"/>
    </sheetNames>
    <sheetDataSet>
      <sheetData sheetId="0" refreshError="1"/>
      <sheetData sheetId="1" refreshError="1">
        <row r="157">
          <cell r="M15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57">
          <cell r="G157">
            <v>0</v>
          </cell>
          <cell r="K157">
            <v>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วม"/>
      <sheetName val="สพร."/>
      <sheetName val="สพส."/>
      <sheetName val="สสป"/>
      <sheetName val="สพก."/>
      <sheetName val="สปร"/>
      <sheetName val="สกก"/>
      <sheetName val="สปข"/>
      <sheetName val="สภท"/>
      <sheetName val="สทส"/>
      <sheetName val="ฝบท"/>
    </sheetNames>
    <sheetDataSet>
      <sheetData sheetId="0" refreshError="1"/>
      <sheetData sheetId="1" refreshError="1">
        <row r="31">
          <cell r="L31">
            <v>29572</v>
          </cell>
          <cell r="M31">
            <v>35000</v>
          </cell>
        </row>
      </sheetData>
      <sheetData sheetId="2" refreshError="1">
        <row r="31">
          <cell r="K31">
            <v>33468</v>
          </cell>
          <cell r="L31">
            <v>31104</v>
          </cell>
        </row>
      </sheetData>
      <sheetData sheetId="3" refreshError="1">
        <row r="82">
          <cell r="G82">
            <v>0</v>
          </cell>
          <cell r="I82">
            <v>0</v>
          </cell>
          <cell r="J82">
            <v>25000</v>
          </cell>
          <cell r="K82">
            <v>25000</v>
          </cell>
          <cell r="L82">
            <v>25000</v>
          </cell>
          <cell r="M82">
            <v>25000</v>
          </cell>
        </row>
      </sheetData>
      <sheetData sheetId="4" refreshError="1">
        <row r="57">
          <cell r="H57">
            <v>0</v>
          </cell>
        </row>
      </sheetData>
      <sheetData sheetId="5" refreshError="1"/>
      <sheetData sheetId="6" refreshError="1">
        <row r="107">
          <cell r="F107">
            <v>0</v>
          </cell>
          <cell r="G107">
            <v>3500</v>
          </cell>
          <cell r="J107">
            <v>1000</v>
          </cell>
          <cell r="L107">
            <v>15000</v>
          </cell>
          <cell r="M107">
            <v>7300</v>
          </cell>
        </row>
      </sheetData>
      <sheetData sheetId="7" refreshError="1"/>
      <sheetData sheetId="8" refreshError="1">
        <row r="183">
          <cell r="F183">
            <v>300000</v>
          </cell>
          <cell r="G183">
            <v>82150</v>
          </cell>
          <cell r="H183">
            <v>100000</v>
          </cell>
          <cell r="I183">
            <v>654750</v>
          </cell>
        </row>
      </sheetData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บบฟอร์ม"/>
      <sheetName val="ค.จัดทำสารสนเทศฯ"/>
      <sheetName val="ศูนย์เรียนรู้"/>
      <sheetName val="งบดำเนินงาน"/>
      <sheetName val="cutting"/>
      <sheetName val="ต้นทุน"/>
      <sheetName val="ติดตามภาวะ"/>
      <sheetName val="เชิงลึก"/>
      <sheetName val="ประยุกต์"/>
      <sheetName val="อกม."/>
      <sheetName val="so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C12">
            <v>43000</v>
          </cell>
        </row>
        <row r="19">
          <cell r="D19">
            <v>77980</v>
          </cell>
          <cell r="E19">
            <v>57753</v>
          </cell>
          <cell r="F19">
            <v>52200</v>
          </cell>
        </row>
      </sheetData>
      <sheetData sheetId="7" refreshError="1"/>
      <sheetData sheetId="8" refreshError="1">
        <row r="15">
          <cell r="C15">
            <v>127000</v>
          </cell>
          <cell r="D15">
            <v>487000</v>
          </cell>
          <cell r="E15">
            <v>473000</v>
          </cell>
          <cell r="F15">
            <v>76100</v>
          </cell>
        </row>
      </sheetData>
      <sheetData sheetId="9" refreshError="1">
        <row r="10">
          <cell r="C10">
            <v>34200</v>
          </cell>
          <cell r="D10">
            <v>232995</v>
          </cell>
        </row>
      </sheetData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รายการผูกพัน (สัญญาทั้งปี)"/>
      <sheetName val="2.รายการ คชจ.ส่วนกลาง"/>
      <sheetName val="3. ค่าสาธารณูปโภค"/>
      <sheetName val="4. ครุภัณฑ์แผนงานพื้นฐาน"/>
      <sheetName val="สรุป"/>
    </sheetNames>
    <sheetDataSet>
      <sheetData sheetId="0">
        <row r="3">
          <cell r="E3">
            <v>4997000</v>
          </cell>
        </row>
      </sheetData>
      <sheetData sheetId="1">
        <row r="3">
          <cell r="E3">
            <v>561000</v>
          </cell>
        </row>
      </sheetData>
      <sheetData sheetId="2">
        <row r="3">
          <cell r="E3">
            <v>337162.71899999998</v>
          </cell>
        </row>
      </sheetData>
      <sheetData sheetId="3">
        <row r="3">
          <cell r="E3">
            <v>52965</v>
          </cell>
          <cell r="F3">
            <v>0</v>
          </cell>
          <cell r="L3">
            <v>75900</v>
          </cell>
          <cell r="M3">
            <v>0</v>
          </cell>
        </row>
      </sheetData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ค่าล่วงเวลา"/>
      <sheetName val="2ค่าเบี้ยประชุมฯ"/>
      <sheetName val="3ค่าเบี้ยเลี้ยงพาหนะ"/>
      <sheetName val="4ค่าซ่อมแซมรถราชการ"/>
      <sheetName val="5ค่าซ่อมครุภัณฑ์ สนง. "/>
      <sheetName val="6ค่าซ่อมคอมฯ"/>
      <sheetName val="7ค่าจ้างเหมาบริการ บุคคล "/>
      <sheetName val="8ค่าจ้างพิมพ์หนังสือ"/>
      <sheetName val="9คชจ.ในการอบรมสัมมนา"/>
      <sheetName val="10ค่าอาหารว่างฯ"/>
      <sheetName val="11ค่าโทรศัพท์เคลื่อนที่ "/>
      <sheetName val="12ค่าวัสดุ สนง."/>
      <sheetName val="13ค่าน้ำมันฯ"/>
      <sheetName val="14ค่าวัสดุวิทยาศาสตร์"/>
      <sheetName val="15ค่าวัสดุคอมฯ"/>
      <sheetName val="สรุป"/>
      <sheetName val="16.โครงการ"/>
      <sheetName val="16.โครงการ (งบลงทุน)"/>
      <sheetName val="16.โครงการ รายเดือน"/>
      <sheetName val="สรุป สภท."/>
      <sheetName val="สรุป สภท. รายเดือน"/>
    </sheetNames>
    <sheetDataSet>
      <sheetData sheetId="0">
        <row r="3">
          <cell r="E3">
            <v>0</v>
          </cell>
        </row>
      </sheetData>
      <sheetData sheetId="1">
        <row r="3">
          <cell r="E3">
            <v>0</v>
          </cell>
        </row>
      </sheetData>
      <sheetData sheetId="2">
        <row r="3">
          <cell r="E3">
            <v>0</v>
          </cell>
        </row>
      </sheetData>
      <sheetData sheetId="3">
        <row r="3">
          <cell r="E3">
            <v>0</v>
          </cell>
        </row>
      </sheetData>
      <sheetData sheetId="4">
        <row r="3">
          <cell r="E3">
            <v>0</v>
          </cell>
        </row>
      </sheetData>
      <sheetData sheetId="5">
        <row r="3">
          <cell r="E3">
            <v>0</v>
          </cell>
        </row>
      </sheetData>
      <sheetData sheetId="6">
        <row r="3">
          <cell r="E3">
            <v>0</v>
          </cell>
        </row>
      </sheetData>
      <sheetData sheetId="7">
        <row r="3">
          <cell r="E3">
            <v>0</v>
          </cell>
        </row>
      </sheetData>
      <sheetData sheetId="8">
        <row r="3">
          <cell r="E3">
            <v>0</v>
          </cell>
        </row>
      </sheetData>
      <sheetData sheetId="9">
        <row r="3">
          <cell r="E3">
            <v>0</v>
          </cell>
        </row>
      </sheetData>
      <sheetData sheetId="10">
        <row r="3">
          <cell r="E3">
            <v>0</v>
          </cell>
        </row>
      </sheetData>
      <sheetData sheetId="11">
        <row r="3">
          <cell r="E3">
            <v>1776</v>
          </cell>
        </row>
      </sheetData>
      <sheetData sheetId="12">
        <row r="3">
          <cell r="E3">
            <v>0</v>
          </cell>
        </row>
      </sheetData>
      <sheetData sheetId="13">
        <row r="3">
          <cell r="E3">
            <v>0</v>
          </cell>
        </row>
      </sheetData>
      <sheetData sheetId="14">
        <row r="3">
          <cell r="E3">
            <v>0</v>
          </cell>
        </row>
      </sheetData>
      <sheetData sheetId="15" refreshError="1"/>
      <sheetData sheetId="16">
        <row r="4">
          <cell r="E4">
            <v>0</v>
          </cell>
        </row>
      </sheetData>
      <sheetData sheetId="17">
        <row r="4">
          <cell r="E4">
            <v>0</v>
          </cell>
          <cell r="F4">
            <v>0</v>
          </cell>
          <cell r="L4">
            <v>108795.02</v>
          </cell>
          <cell r="M4">
            <v>0</v>
          </cell>
        </row>
        <row r="37">
          <cell r="E37">
            <v>0</v>
          </cell>
          <cell r="F37">
            <v>0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ค่าล่วงเวลา"/>
      <sheetName val="2ค่าเบี้ยประชุมฯ"/>
      <sheetName val="3ค่าเบี้ยเลี้ยงพาหนะ"/>
      <sheetName val="4ค่าซ่อมแซมรถราชการ"/>
      <sheetName val="5ค่าซ่อมครุภัณฑ์ สนง. "/>
      <sheetName val="6ค่าซ่อมคอมฯ"/>
      <sheetName val="7ค่าจ้างเหมาบริการ บุคคล "/>
      <sheetName val="8ค่าจ้างพิมพ์หนังสือ"/>
      <sheetName val="9คชจ.ในการอบรมสัมมนา"/>
      <sheetName val="10ค่าอาหารว่างฯ"/>
      <sheetName val="11. ค่าโทรศัพท์เคลือนที่"/>
      <sheetName val="12ค่าวัสดุ สนง."/>
      <sheetName val="13ค่าน้ำมันฯ"/>
      <sheetName val="14ค่าวัสดุวิทยาศาสตร์"/>
      <sheetName val="15ค่าวัสดุคอมฯ"/>
      <sheetName val="16.โครงการ"/>
      <sheetName val="สรุป"/>
      <sheetName val="16.1โครงการ (งบลงทุน)"/>
      <sheetName val=" สรุป สพร."/>
      <sheetName val=" สรุป สพร. รายเดือน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E3">
            <v>0</v>
          </cell>
        </row>
      </sheetData>
      <sheetData sheetId="5" refreshError="1"/>
      <sheetData sheetId="6">
        <row r="3">
          <cell r="E3">
            <v>1740</v>
          </cell>
        </row>
      </sheetData>
      <sheetData sheetId="7" refreshError="1"/>
      <sheetData sheetId="8" refreshError="1"/>
      <sheetData sheetId="9">
        <row r="3">
          <cell r="E3">
            <v>0</v>
          </cell>
        </row>
      </sheetData>
      <sheetData sheetId="10">
        <row r="3">
          <cell r="E3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4">
          <cell r="Z4">
            <v>0</v>
          </cell>
        </row>
      </sheetData>
      <sheetData sheetId="16" refreshError="1"/>
      <sheetData sheetId="17">
        <row r="4">
          <cell r="E4">
            <v>350000</v>
          </cell>
          <cell r="F4">
            <v>0</v>
          </cell>
        </row>
      </sheetData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ค่าล่วงเวลา"/>
      <sheetName val="2ค่าเบี้ยประชุมฯ"/>
      <sheetName val="3ค่าเบี้ยเลี้ยงพาหนะ"/>
      <sheetName val="4ค่าซ่อมแซมรถราชการ"/>
      <sheetName val="5ค่าซ่อมครุภัณฑ์ สนง. "/>
      <sheetName val="6ค่าซ่อมคอมฯ"/>
      <sheetName val="7ค่าจ้างเหมาบริการ บุคคล "/>
      <sheetName val="8ค่าจ้างพิมพ์หนังสือ"/>
      <sheetName val="9คชจ.ในการอบรมสัมมนา"/>
      <sheetName val="10ค่าอาหารว่างฯ"/>
      <sheetName val="11ค่าโทรศัพท์เคลื่อนที่"/>
      <sheetName val="12ค่าวัสดุ สนง."/>
      <sheetName val="13ค่าน้ำมันฯ"/>
      <sheetName val="14ค่าวัสดุวิทยาศาสตร์"/>
      <sheetName val="15ค่าวัสดุคอมฯ"/>
      <sheetName val="สรุป"/>
      <sheetName val="16.โครงการ"/>
      <sheetName val="16.1โครงการ (งบลงทุน)"/>
      <sheetName val="16.โครงการรายเดือน"/>
      <sheetName val="สรุป สทส."/>
      <sheetName val="สรุป สทส. รายเดือน"/>
    </sheetNames>
    <sheetDataSet>
      <sheetData sheetId="0">
        <row r="3">
          <cell r="E3">
            <v>0</v>
          </cell>
        </row>
      </sheetData>
      <sheetData sheetId="1">
        <row r="3">
          <cell r="E3">
            <v>0</v>
          </cell>
        </row>
      </sheetData>
      <sheetData sheetId="2">
        <row r="3">
          <cell r="E3">
            <v>0</v>
          </cell>
        </row>
      </sheetData>
      <sheetData sheetId="3">
        <row r="3">
          <cell r="E3">
            <v>0</v>
          </cell>
        </row>
      </sheetData>
      <sheetData sheetId="4">
        <row r="3">
          <cell r="E3">
            <v>0</v>
          </cell>
        </row>
      </sheetData>
      <sheetData sheetId="5">
        <row r="3">
          <cell r="E3">
            <v>0</v>
          </cell>
        </row>
      </sheetData>
      <sheetData sheetId="6">
        <row r="3">
          <cell r="E3">
            <v>0</v>
          </cell>
        </row>
      </sheetData>
      <sheetData sheetId="7">
        <row r="3">
          <cell r="E3">
            <v>0</v>
          </cell>
        </row>
      </sheetData>
      <sheetData sheetId="8">
        <row r="3">
          <cell r="E3">
            <v>0</v>
          </cell>
        </row>
      </sheetData>
      <sheetData sheetId="9">
        <row r="3">
          <cell r="E3">
            <v>0</v>
          </cell>
        </row>
      </sheetData>
      <sheetData sheetId="10">
        <row r="3">
          <cell r="E3">
            <v>0</v>
          </cell>
        </row>
      </sheetData>
      <sheetData sheetId="11">
        <row r="3">
          <cell r="E3">
            <v>0</v>
          </cell>
        </row>
      </sheetData>
      <sheetData sheetId="12">
        <row r="3">
          <cell r="E3">
            <v>0</v>
          </cell>
        </row>
      </sheetData>
      <sheetData sheetId="13">
        <row r="3">
          <cell r="E3">
            <v>0</v>
          </cell>
        </row>
      </sheetData>
      <sheetData sheetId="14">
        <row r="3">
          <cell r="E3">
            <v>0</v>
          </cell>
        </row>
      </sheetData>
      <sheetData sheetId="15" refreshError="1"/>
      <sheetData sheetId="16">
        <row r="4">
          <cell r="BB4">
            <v>0</v>
          </cell>
          <cell r="BI4">
            <v>0</v>
          </cell>
          <cell r="BJ4">
            <v>0</v>
          </cell>
          <cell r="CR4">
            <v>0</v>
          </cell>
          <cell r="CS4">
            <v>0</v>
          </cell>
          <cell r="CY4">
            <v>0</v>
          </cell>
          <cell r="CZ4">
            <v>0</v>
          </cell>
        </row>
        <row r="36">
          <cell r="BI36">
            <v>0</v>
          </cell>
          <cell r="BJ36">
            <v>0</v>
          </cell>
          <cell r="CR36">
            <v>0</v>
          </cell>
          <cell r="CS36">
            <v>0</v>
          </cell>
          <cell r="CY36">
            <v>0</v>
          </cell>
          <cell r="CZ36">
            <v>0</v>
          </cell>
        </row>
        <row r="69">
          <cell r="BI69">
            <v>0</v>
          </cell>
          <cell r="BJ69">
            <v>0</v>
          </cell>
          <cell r="CR69">
            <v>0</v>
          </cell>
          <cell r="CS69">
            <v>0</v>
          </cell>
          <cell r="CY69">
            <v>0</v>
          </cell>
          <cell r="CZ69">
            <v>0</v>
          </cell>
        </row>
        <row r="102">
          <cell r="BI102">
            <v>0</v>
          </cell>
          <cell r="BJ102">
            <v>0</v>
          </cell>
          <cell r="CR102">
            <v>0</v>
          </cell>
          <cell r="CS102">
            <v>0</v>
          </cell>
          <cell r="CY102">
            <v>0</v>
          </cell>
          <cell r="CZ102">
            <v>0</v>
          </cell>
        </row>
        <row r="135">
          <cell r="BI135">
            <v>0</v>
          </cell>
          <cell r="BJ135">
            <v>0</v>
          </cell>
          <cell r="CR135">
            <v>0</v>
          </cell>
          <cell r="CS135">
            <v>0</v>
          </cell>
          <cell r="CY135">
            <v>0</v>
          </cell>
          <cell r="CZ135">
            <v>0</v>
          </cell>
        </row>
        <row r="168">
          <cell r="BI168">
            <v>0</v>
          </cell>
          <cell r="BJ168">
            <v>0</v>
          </cell>
          <cell r="CR168">
            <v>0</v>
          </cell>
          <cell r="CS168">
            <v>0</v>
          </cell>
          <cell r="CY168">
            <v>0</v>
          </cell>
          <cell r="CZ168">
            <v>0</v>
          </cell>
        </row>
        <row r="201">
          <cell r="BI201">
            <v>0</v>
          </cell>
          <cell r="BJ201">
            <v>0</v>
          </cell>
          <cell r="CR201">
            <v>0</v>
          </cell>
          <cell r="CS201">
            <v>0</v>
          </cell>
          <cell r="CY201">
            <v>0</v>
          </cell>
          <cell r="CZ201">
            <v>0</v>
          </cell>
        </row>
        <row r="507">
          <cell r="BI507">
            <v>0</v>
          </cell>
          <cell r="BJ507">
            <v>0</v>
          </cell>
          <cell r="CR507">
            <v>0</v>
          </cell>
          <cell r="CS507">
            <v>0</v>
          </cell>
          <cell r="CY507">
            <v>0</v>
          </cell>
          <cell r="CZ507">
            <v>0</v>
          </cell>
        </row>
        <row r="537">
          <cell r="BI537">
            <v>0</v>
          </cell>
          <cell r="BJ537">
            <v>0</v>
          </cell>
          <cell r="CR537">
            <v>0</v>
          </cell>
          <cell r="CS537">
            <v>0</v>
          </cell>
          <cell r="CY537">
            <v>0</v>
          </cell>
          <cell r="CZ537">
            <v>0</v>
          </cell>
        </row>
        <row r="568">
          <cell r="BI568">
            <v>0</v>
          </cell>
          <cell r="BJ568">
            <v>0</v>
          </cell>
          <cell r="CR568">
            <v>0</v>
          </cell>
          <cell r="CS568">
            <v>0</v>
          </cell>
          <cell r="CY568">
            <v>0</v>
          </cell>
          <cell r="CZ568">
            <v>0</v>
          </cell>
        </row>
        <row r="599">
          <cell r="CY599">
            <v>0</v>
          </cell>
          <cell r="CZ599">
            <v>0</v>
          </cell>
        </row>
        <row r="631">
          <cell r="BI631">
            <v>0</v>
          </cell>
          <cell r="BJ631">
            <v>0</v>
          </cell>
          <cell r="CR631">
            <v>0</v>
          </cell>
          <cell r="CS631">
            <v>0</v>
          </cell>
          <cell r="CY631">
            <v>0</v>
          </cell>
          <cell r="CZ631">
            <v>0</v>
          </cell>
        </row>
        <row r="664">
          <cell r="BI664">
            <v>0</v>
          </cell>
          <cell r="BJ664">
            <v>0</v>
          </cell>
          <cell r="CR664">
            <v>0</v>
          </cell>
          <cell r="CS664">
            <v>0</v>
          </cell>
          <cell r="CY664">
            <v>0</v>
          </cell>
          <cell r="CZ664">
            <v>0</v>
          </cell>
        </row>
        <row r="697">
          <cell r="BI697">
            <v>0</v>
          </cell>
          <cell r="BJ697">
            <v>0</v>
          </cell>
          <cell r="CR697">
            <v>0</v>
          </cell>
          <cell r="CS697">
            <v>0</v>
          </cell>
          <cell r="CY697">
            <v>0</v>
          </cell>
          <cell r="CZ697">
            <v>0</v>
          </cell>
        </row>
        <row r="730">
          <cell r="BI730">
            <v>0</v>
          </cell>
          <cell r="BJ730">
            <v>0</v>
          </cell>
          <cell r="CR730">
            <v>0</v>
          </cell>
          <cell r="CS730">
            <v>0</v>
          </cell>
          <cell r="CY730">
            <v>0</v>
          </cell>
          <cell r="CZ730">
            <v>0</v>
          </cell>
        </row>
      </sheetData>
      <sheetData sheetId="17">
        <row r="4">
          <cell r="E4">
            <v>0</v>
          </cell>
          <cell r="F4">
            <v>0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ค่าล่างเวลา"/>
      <sheetName val="2ค่าเบี้ยประชุมฯ"/>
      <sheetName val="3ค่าเบี้ยเลี้ยงพาหนะ"/>
      <sheetName val="4ค่าซ่อมแซมรถราชการ"/>
      <sheetName val="5ค่าซ่อมครุภัณฑ์ สนง. "/>
      <sheetName val="6ค่าซ่อมคอมฯ"/>
      <sheetName val="7ค่าจ้างเหมาบริการ บุคคล "/>
      <sheetName val="8ค่าจ้างพิมพ์หนังสือ"/>
      <sheetName val="9คชจ.ในการอบรมสัมมนา"/>
      <sheetName val="10ค่าอาหารว่างฯ"/>
      <sheetName val="11. ค่าโทรศัพท์เคลือนที่"/>
      <sheetName val="12ค่าวัสดุ สนง."/>
      <sheetName val="13ค่าน้ำมันฯ"/>
      <sheetName val="14ค่าวัสดุวิทยาศาสตร์"/>
      <sheetName val="15ค่าวัสดุคอมฯ"/>
      <sheetName val="16.โครงการ"/>
      <sheetName val="สรุป"/>
      <sheetName val=" สรุป ฝบท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E4">
            <v>0</v>
          </cell>
          <cell r="S4">
            <v>0</v>
          </cell>
          <cell r="T4">
            <v>0</v>
          </cell>
          <cell r="BB4">
            <v>0</v>
          </cell>
          <cell r="BC4">
            <v>0</v>
          </cell>
        </row>
        <row r="36">
          <cell r="S36">
            <v>0</v>
          </cell>
          <cell r="T36">
            <v>0</v>
          </cell>
          <cell r="BB36">
            <v>0</v>
          </cell>
          <cell r="BC36">
            <v>0</v>
          </cell>
        </row>
        <row r="69">
          <cell r="S69">
            <v>0</v>
          </cell>
          <cell r="T69">
            <v>0</v>
          </cell>
          <cell r="BB69">
            <v>0</v>
          </cell>
          <cell r="BC69">
            <v>0</v>
          </cell>
        </row>
        <row r="102">
          <cell r="S102">
            <v>0</v>
          </cell>
          <cell r="T102">
            <v>0</v>
          </cell>
          <cell r="BB102">
            <v>0</v>
          </cell>
          <cell r="BC102">
            <v>0</v>
          </cell>
        </row>
        <row r="135">
          <cell r="S135">
            <v>0</v>
          </cell>
          <cell r="T135">
            <v>0</v>
          </cell>
          <cell r="BB135">
            <v>0</v>
          </cell>
          <cell r="BC135">
            <v>0</v>
          </cell>
        </row>
        <row r="168">
          <cell r="S168">
            <v>0</v>
          </cell>
          <cell r="T168">
            <v>0</v>
          </cell>
          <cell r="BB168">
            <v>0</v>
          </cell>
          <cell r="BC168">
            <v>0</v>
          </cell>
        </row>
        <row r="201">
          <cell r="S201">
            <v>0</v>
          </cell>
          <cell r="T201">
            <v>0</v>
          </cell>
          <cell r="BC201">
            <v>0</v>
          </cell>
        </row>
        <row r="498">
          <cell r="S498">
            <v>0</v>
          </cell>
          <cell r="T498">
            <v>0</v>
          </cell>
          <cell r="BB498">
            <v>0</v>
          </cell>
          <cell r="BC498">
            <v>0</v>
          </cell>
        </row>
        <row r="531">
          <cell r="S531">
            <v>0</v>
          </cell>
          <cell r="T531">
            <v>0</v>
          </cell>
          <cell r="BB531">
            <v>0</v>
          </cell>
          <cell r="BC531">
            <v>0</v>
          </cell>
        </row>
        <row r="564">
          <cell r="S564">
            <v>0</v>
          </cell>
          <cell r="T564">
            <v>0</v>
          </cell>
          <cell r="BB564">
            <v>0</v>
          </cell>
          <cell r="BC564">
            <v>0</v>
          </cell>
        </row>
        <row r="595">
          <cell r="S595">
            <v>0</v>
          </cell>
          <cell r="T595">
            <v>0</v>
          </cell>
          <cell r="BB595">
            <v>0</v>
          </cell>
          <cell r="BC595">
            <v>0</v>
          </cell>
        </row>
        <row r="634">
          <cell r="S634">
            <v>0</v>
          </cell>
          <cell r="T634">
            <v>0</v>
          </cell>
          <cell r="BB634">
            <v>0</v>
          </cell>
          <cell r="BC634">
            <v>0</v>
          </cell>
        </row>
        <row r="667">
          <cell r="S667">
            <v>0</v>
          </cell>
          <cell r="T667">
            <v>0</v>
          </cell>
          <cell r="BB667">
            <v>0</v>
          </cell>
          <cell r="BC667">
            <v>0</v>
          </cell>
        </row>
        <row r="700">
          <cell r="S700">
            <v>0</v>
          </cell>
          <cell r="T700">
            <v>0</v>
          </cell>
          <cell r="BB700">
            <v>0</v>
          </cell>
          <cell r="BC700">
            <v>0</v>
          </cell>
        </row>
        <row r="733">
          <cell r="S733">
            <v>0</v>
          </cell>
          <cell r="T733">
            <v>0</v>
          </cell>
          <cell r="BB733">
            <v>0</v>
          </cell>
          <cell r="BC733">
            <v>0</v>
          </cell>
        </row>
      </sheetData>
      <sheetData sheetId="16"/>
      <sheetData sheetId="1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ค่าล่างเวลา"/>
      <sheetName val="2ค่าเบี้ยประชุมฯ"/>
      <sheetName val="3ค่าเบี้ยเลี้ยงพาหนะ"/>
      <sheetName val="4ค่าซ่อมแซมรถราชการ"/>
      <sheetName val="5ค่าซ่อมครุภัณฑ์ สนง. "/>
      <sheetName val="6ค่าซ่อมคอมฯ"/>
      <sheetName val="7ค่าจ้างเหมาบริการ บุคคล "/>
      <sheetName val="8ค่าจ้างพิมพ์หนังสือ"/>
      <sheetName val="9คชจ.ในการอบรมสัมมนา"/>
      <sheetName val="10ค่าอาหารว่างฯ"/>
      <sheetName val="11ค่าโทรศัพท์เคลื่อนที่"/>
      <sheetName val="12ค่าวัสดุ สนง."/>
      <sheetName val="13ค่าน้ำมันฯ"/>
      <sheetName val="14ค่าวัสดุวิทยาศาสตร์"/>
      <sheetName val="15ค่าวัสดุคอมฯ"/>
      <sheetName val="สรุป"/>
      <sheetName val="16.โครงการ"/>
      <sheetName val="สรุป สพร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E4">
            <v>0</v>
          </cell>
          <cell r="S4">
            <v>0</v>
          </cell>
          <cell r="T4">
            <v>0</v>
          </cell>
          <cell r="BB4">
            <v>0</v>
          </cell>
          <cell r="BC4">
            <v>0</v>
          </cell>
        </row>
        <row r="36">
          <cell r="S36">
            <v>0</v>
          </cell>
          <cell r="T36">
            <v>0</v>
          </cell>
          <cell r="BB36">
            <v>0</v>
          </cell>
          <cell r="BC36">
            <v>0</v>
          </cell>
        </row>
        <row r="69">
          <cell r="S69">
            <v>0</v>
          </cell>
          <cell r="T69">
            <v>0</v>
          </cell>
          <cell r="BB69">
            <v>0</v>
          </cell>
          <cell r="BC69">
            <v>0</v>
          </cell>
        </row>
        <row r="102">
          <cell r="S102"/>
          <cell r="T102"/>
          <cell r="BB102"/>
          <cell r="BC102"/>
        </row>
        <row r="135">
          <cell r="S135"/>
          <cell r="T135"/>
          <cell r="BB135"/>
          <cell r="BC135"/>
        </row>
        <row r="168">
          <cell r="S168"/>
          <cell r="T168"/>
          <cell r="BB168"/>
          <cell r="BC168"/>
        </row>
        <row r="201">
          <cell r="S201">
            <v>0</v>
          </cell>
          <cell r="T201">
            <v>0</v>
          </cell>
          <cell r="BB201">
            <v>0</v>
          </cell>
          <cell r="BC201">
            <v>0</v>
          </cell>
        </row>
        <row r="498">
          <cell r="S498"/>
          <cell r="T498"/>
          <cell r="BB498"/>
          <cell r="BC498"/>
        </row>
        <row r="531">
          <cell r="S531"/>
          <cell r="T531"/>
          <cell r="BB531"/>
          <cell r="BC531"/>
        </row>
        <row r="564">
          <cell r="S564"/>
          <cell r="T564"/>
          <cell r="BB564"/>
          <cell r="BC564"/>
        </row>
      </sheetData>
      <sheetData sheetId="1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ค่าล่างเวลา"/>
      <sheetName val="2ค่าเบี้ยประชุมฯ"/>
      <sheetName val="3ค่าเบี้ยเลี้ยงพาหนะ"/>
      <sheetName val="4ค่าซ่อมแซมรถราชการ"/>
      <sheetName val="5ค่าซ่อมครุภัณฑ์ สนง. "/>
      <sheetName val="6ค่าซ่อมคอมฯ"/>
      <sheetName val="7ค่าจ้างเหมาบริการ บุคคล "/>
      <sheetName val="8ค่าจ้างพิมพ์หนังสือ"/>
      <sheetName val="9คชจ.ในการอบรมสัมมนา"/>
      <sheetName val="10ค่าอาหารว่างฯ"/>
      <sheetName val="11ค่าโทรศัพท์เคลื่อนที่"/>
      <sheetName val="12ค่าวัสดุ สนง."/>
      <sheetName val="13ค่าน้ำมันฯ"/>
      <sheetName val="14ค่าวัสดุวิทยาศาสตร์"/>
      <sheetName val="15ค่าวัสดุคอมฯ"/>
      <sheetName val="สรุป"/>
      <sheetName val="16.โครงการ"/>
      <sheetName val="สรุป สพส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L4">
            <v>0</v>
          </cell>
          <cell r="S4">
            <v>0</v>
          </cell>
          <cell r="T4">
            <v>0</v>
          </cell>
        </row>
        <row r="36">
          <cell r="S36">
            <v>0</v>
          </cell>
          <cell r="T36">
            <v>0</v>
          </cell>
        </row>
        <row r="69">
          <cell r="S69">
            <v>0</v>
          </cell>
          <cell r="T69">
            <v>0</v>
          </cell>
        </row>
        <row r="102">
          <cell r="S102"/>
          <cell r="T102"/>
        </row>
        <row r="135">
          <cell r="S135"/>
          <cell r="T135"/>
        </row>
        <row r="168">
          <cell r="S168">
            <v>0</v>
          </cell>
          <cell r="T168">
            <v>0</v>
          </cell>
        </row>
        <row r="201">
          <cell r="S201">
            <v>0</v>
          </cell>
          <cell r="T201">
            <v>0</v>
          </cell>
        </row>
        <row r="498">
          <cell r="S498"/>
          <cell r="T498"/>
        </row>
        <row r="531">
          <cell r="S531"/>
          <cell r="T531"/>
        </row>
        <row r="564">
          <cell r="S564"/>
          <cell r="T564"/>
        </row>
      </sheetData>
      <sheetData sheetId="1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ค่าล่างเวลา"/>
      <sheetName val="2ค่าเบี้ยประชุมฯ"/>
      <sheetName val="3ค่าเบี้ยเลี้ยงพาหนะ"/>
      <sheetName val="4ค่าซ่อมแซมรถราชการ"/>
      <sheetName val="5ค่าซ่อมครุภัณฑ์ สนง. "/>
      <sheetName val="6ค่าซ่อมคอมฯ"/>
      <sheetName val="7ค่าจ้างเหมาบริการ บุคคล "/>
      <sheetName val="8ค่าจ้างพิมพ์หนังสือ"/>
      <sheetName val="9คชจ.ในการอบรมสัมมนา"/>
      <sheetName val="10ค่าอาหารว่างฯ"/>
      <sheetName val="11ค่าโทรศัพท์เคลื่อนที่"/>
      <sheetName val="12ค่าวัสดุ สนง."/>
      <sheetName val="13ค่าน้ำมันฯ"/>
      <sheetName val="14ค่าวัสดุวิทยาศาสตร์"/>
      <sheetName val="15ค่าวัสดุคอมฯ"/>
      <sheetName val="สรุป"/>
      <sheetName val="16.โครงการ"/>
      <sheetName val="สรุป สกก."/>
      <sheetName val="2เบี้ยประชุมฯ"/>
      <sheetName val="3เบี้ยเลี้ยงพาหนะ"/>
      <sheetName val="11ค่าวัสดุ สนง."/>
      <sheetName val="12ค่าน้ำมันฯ"/>
      <sheetName val="13ค่าวัสดุวิทยาศาสตร์"/>
      <sheetName val="14ค่าวัสดุคอมฯ"/>
      <sheetName val="15.โครงการ"/>
    </sheetNames>
    <sheetDataSet>
      <sheetData sheetId="0">
        <row r="3">
          <cell r="E3">
            <v>0</v>
          </cell>
        </row>
      </sheetData>
      <sheetData sheetId="1">
        <row r="3">
          <cell r="E3">
            <v>0</v>
          </cell>
        </row>
      </sheetData>
      <sheetData sheetId="2">
        <row r="3">
          <cell r="E3">
            <v>78480</v>
          </cell>
        </row>
      </sheetData>
      <sheetData sheetId="3">
        <row r="3">
          <cell r="E3">
            <v>0</v>
          </cell>
        </row>
      </sheetData>
      <sheetData sheetId="4">
        <row r="3">
          <cell r="E3">
            <v>0</v>
          </cell>
        </row>
      </sheetData>
      <sheetData sheetId="5">
        <row r="3">
          <cell r="E3">
            <v>0</v>
          </cell>
        </row>
      </sheetData>
      <sheetData sheetId="6">
        <row r="3">
          <cell r="E3">
            <v>0</v>
          </cell>
        </row>
      </sheetData>
      <sheetData sheetId="7">
        <row r="3">
          <cell r="E3">
            <v>0</v>
          </cell>
        </row>
      </sheetData>
      <sheetData sheetId="8">
        <row r="3">
          <cell r="E3">
            <v>2600</v>
          </cell>
        </row>
      </sheetData>
      <sheetData sheetId="9">
        <row r="3">
          <cell r="E3">
            <v>0</v>
          </cell>
        </row>
      </sheetData>
      <sheetData sheetId="10">
        <row r="3">
          <cell r="E3">
            <v>0</v>
          </cell>
        </row>
      </sheetData>
      <sheetData sheetId="11">
        <row r="3">
          <cell r="E3">
            <v>0</v>
          </cell>
        </row>
      </sheetData>
      <sheetData sheetId="12">
        <row r="3">
          <cell r="E3">
            <v>0</v>
          </cell>
        </row>
      </sheetData>
      <sheetData sheetId="13">
        <row r="3">
          <cell r="E3">
            <v>0</v>
          </cell>
        </row>
      </sheetData>
      <sheetData sheetId="14">
        <row r="3">
          <cell r="E3">
            <v>0</v>
          </cell>
        </row>
      </sheetData>
      <sheetData sheetId="15"/>
      <sheetData sheetId="16">
        <row r="4">
          <cell r="S4">
            <v>0</v>
          </cell>
        </row>
        <row r="36">
          <cell r="S36">
            <v>0</v>
          </cell>
          <cell r="T36">
            <v>0</v>
          </cell>
        </row>
        <row r="69">
          <cell r="S69">
            <v>0</v>
          </cell>
          <cell r="T69">
            <v>0</v>
          </cell>
        </row>
        <row r="168">
          <cell r="S168">
            <v>0</v>
          </cell>
          <cell r="T168">
            <v>0</v>
          </cell>
        </row>
        <row r="201">
          <cell r="S201">
            <v>0</v>
          </cell>
          <cell r="T201">
            <v>0</v>
          </cell>
        </row>
        <row r="234">
          <cell r="S234">
            <v>0</v>
          </cell>
          <cell r="T234">
            <v>0</v>
          </cell>
        </row>
        <row r="267">
          <cell r="S267">
            <v>0</v>
          </cell>
          <cell r="T267">
            <v>0</v>
          </cell>
        </row>
        <row r="300">
          <cell r="S300">
            <v>0</v>
          </cell>
          <cell r="T300">
            <v>0</v>
          </cell>
        </row>
        <row r="333">
          <cell r="S333">
            <v>0</v>
          </cell>
          <cell r="T333">
            <v>0</v>
          </cell>
        </row>
        <row r="366">
          <cell r="S366">
            <v>0</v>
          </cell>
          <cell r="T366">
            <v>0</v>
          </cell>
        </row>
        <row r="410">
          <cell r="S410">
            <v>0</v>
          </cell>
          <cell r="T410">
            <v>0</v>
          </cell>
        </row>
        <row r="447">
          <cell r="R447">
            <v>0</v>
          </cell>
          <cell r="T447">
            <v>0</v>
          </cell>
        </row>
        <row r="480">
          <cell r="S480">
            <v>0</v>
          </cell>
          <cell r="T480">
            <v>0</v>
          </cell>
        </row>
        <row r="513">
          <cell r="S513">
            <v>0</v>
          </cell>
          <cell r="T513">
            <v>0</v>
          </cell>
        </row>
        <row r="546">
          <cell r="S546">
            <v>0</v>
          </cell>
          <cell r="T546">
            <v>0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ค่าล่างเวลา"/>
      <sheetName val="2เบี้ยประชุมฯ"/>
      <sheetName val="3เบี้ยเลี้ยงพาหนะ"/>
      <sheetName val="4ค่าซ่อมแซมรถราชการ"/>
      <sheetName val="5ค่าซ่อมครุภัณฑ์ สนง. "/>
      <sheetName val="6ค่าซ่อมคอมฯ"/>
      <sheetName val="7ค่าจ้างเหมาบริการ บุคคล "/>
      <sheetName val="8ค่าจ้างพิมพ์หนังสือ"/>
      <sheetName val="9คชจ.ในการอบรมสัมมนา"/>
      <sheetName val="10ค่าอาหารว่างฯ"/>
      <sheetName val="11ค่าวัสดุ สนง."/>
      <sheetName val="12ค่าน้ำมันฯ"/>
      <sheetName val="13ค่าวัสดุวิทยาศาสตร์"/>
      <sheetName val="14ค่าวัสดุคอมฯ"/>
      <sheetName val="สรุป"/>
      <sheetName val="15.โครงการ"/>
      <sheetName val="สรุป สปข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E4">
            <v>0</v>
          </cell>
          <cell r="S4">
            <v>0</v>
          </cell>
          <cell r="T4">
            <v>0</v>
          </cell>
        </row>
        <row r="36">
          <cell r="S36">
            <v>0</v>
          </cell>
          <cell r="T36">
            <v>0</v>
          </cell>
        </row>
        <row r="69">
          <cell r="S69">
            <v>0</v>
          </cell>
          <cell r="T69">
            <v>0</v>
          </cell>
        </row>
        <row r="168">
          <cell r="S168">
            <v>0</v>
          </cell>
          <cell r="T168">
            <v>0</v>
          </cell>
        </row>
        <row r="201">
          <cell r="S201">
            <v>0</v>
          </cell>
          <cell r="T201">
            <v>0</v>
          </cell>
        </row>
        <row r="234">
          <cell r="S234">
            <v>0</v>
          </cell>
          <cell r="T234">
            <v>0</v>
          </cell>
        </row>
        <row r="267">
          <cell r="S267">
            <v>0</v>
          </cell>
          <cell r="T267">
            <v>0</v>
          </cell>
        </row>
        <row r="300">
          <cell r="S300">
            <v>0</v>
          </cell>
          <cell r="T300">
            <v>0</v>
          </cell>
        </row>
        <row r="333">
          <cell r="S333">
            <v>0</v>
          </cell>
          <cell r="T333">
            <v>0</v>
          </cell>
        </row>
        <row r="366">
          <cell r="S366">
            <v>0</v>
          </cell>
          <cell r="T366">
            <v>0</v>
          </cell>
        </row>
        <row r="399">
          <cell r="S399">
            <v>0</v>
          </cell>
          <cell r="T399">
            <v>0</v>
          </cell>
        </row>
        <row r="432">
          <cell r="S432">
            <v>0</v>
          </cell>
          <cell r="T432">
            <v>0</v>
          </cell>
        </row>
        <row r="465">
          <cell r="S465">
            <v>0</v>
          </cell>
          <cell r="T465">
            <v>0</v>
          </cell>
        </row>
        <row r="498">
          <cell r="S498">
            <v>0</v>
          </cell>
          <cell r="T498">
            <v>0</v>
          </cell>
        </row>
      </sheetData>
      <sheetData sheetId="1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ค่าล่วงเวลา"/>
      <sheetName val="2ค่าเบี้ยประชุมฯ"/>
      <sheetName val="3ค่าเบี้ยเลี้ยงพาหนะ"/>
      <sheetName val="4ค่าซ่อมแซมรถราชการ"/>
      <sheetName val="5ค่าซ่อมครุภัณฑ์ สนง. "/>
      <sheetName val="6ค่าซ่อมคอมฯ"/>
      <sheetName val="7ค่าจ้างเหมาบริการ บุคคล "/>
      <sheetName val="8ค่าจ้างพิมพ์หนังสือ"/>
      <sheetName val="9คชจ.ในการอบรมสัมมนา"/>
      <sheetName val="10ค่าอาหารว่างฯ"/>
      <sheetName val="11ค่าโทรศัพท์เคลื่อนที่"/>
      <sheetName val="12ค่าวัสดุ สนง."/>
      <sheetName val="13ค่าน้ำมันฯ"/>
      <sheetName val="14ค่าวัสดุวิทยาศาสตร์"/>
      <sheetName val="15ค่าวัสดุคอมฯ"/>
      <sheetName val="สรุป"/>
      <sheetName val="16.โครงการ"/>
      <sheetName val="16.โครงการรายเดือน"/>
      <sheetName val="สรุป สทส."/>
      <sheetName val="สรุป สทส. รายเดือน"/>
      <sheetName val="1ค่าล่างเวลา"/>
      <sheetName val="2เบี้ยประชุมฯ"/>
      <sheetName val="3เบี้ยเลี้ยงพาหนะ"/>
      <sheetName val="11ค่าวัสดุ สนง."/>
      <sheetName val="12ค่าน้ำมันฯ"/>
      <sheetName val="13ค่าวัสดุวิทยาศาสตร์"/>
      <sheetName val="14ค่าวัสดุคอมฯ"/>
      <sheetName val="15.โครงกา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4">
          <cell r="BB4">
            <v>0</v>
          </cell>
        </row>
        <row r="14">
          <cell r="BB14"/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1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1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1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zoomScaleNormal="100" workbookViewId="0">
      <selection activeCell="B27" sqref="B27"/>
    </sheetView>
  </sheetViews>
  <sheetFormatPr defaultColWidth="9.140625" defaultRowHeight="27.75" customHeight="1" x14ac:dyDescent="0.35"/>
  <cols>
    <col min="1" max="1" width="42.28515625" style="216" customWidth="1"/>
    <col min="2" max="2" width="15.42578125" style="216" customWidth="1"/>
    <col min="3" max="3" width="15.7109375" style="216" customWidth="1"/>
    <col min="4" max="4" width="8" style="216" customWidth="1"/>
    <col min="5" max="5" width="16.5703125" style="216" customWidth="1"/>
    <col min="6" max="6" width="11.140625" style="217" bestFit="1" customWidth="1"/>
    <col min="7" max="8" width="9.140625" style="217"/>
    <col min="9" max="9" width="11.5703125" style="217" bestFit="1" customWidth="1"/>
    <col min="10" max="16384" width="9.140625" style="217"/>
  </cols>
  <sheetData>
    <row r="1" spans="1:6" s="212" customFormat="1" ht="27.75" customHeight="1" x14ac:dyDescent="0.5">
      <c r="A1" s="3096" t="s">
        <v>134</v>
      </c>
      <c r="B1" s="3096"/>
      <c r="C1" s="3096"/>
      <c r="D1" s="3096"/>
      <c r="E1" s="214"/>
      <c r="F1" s="214"/>
    </row>
    <row r="2" spans="1:6" s="212" customFormat="1" ht="27.75" customHeight="1" x14ac:dyDescent="0.5">
      <c r="A2" s="213"/>
      <c r="B2" s="226"/>
      <c r="C2" s="227"/>
      <c r="D2" s="228"/>
      <c r="E2" s="214"/>
      <c r="F2" s="214"/>
    </row>
    <row r="3" spans="1:6" s="222" customFormat="1" ht="27.75" customHeight="1" x14ac:dyDescent="0.35">
      <c r="A3" s="215" t="s">
        <v>130</v>
      </c>
      <c r="B3" s="215"/>
      <c r="C3" s="215"/>
      <c r="D3" s="215"/>
      <c r="E3" s="215">
        <f>'4 สรุปตามการจัดสรร 2+3'!C6</f>
        <v>14990100</v>
      </c>
    </row>
    <row r="4" spans="1:6" ht="27.75" customHeight="1" x14ac:dyDescent="0.35">
      <c r="A4" s="218" t="s">
        <v>133</v>
      </c>
      <c r="B4" s="229"/>
      <c r="C4" s="219">
        <f>'4 สรุปตามการจัดสรร 2+3'!C8</f>
        <v>3000200</v>
      </c>
      <c r="D4" s="219"/>
    </row>
    <row r="5" spans="1:6" ht="27.75" customHeight="1" x14ac:dyDescent="0.35">
      <c r="A5" s="218" t="s">
        <v>132</v>
      </c>
      <c r="B5" s="229"/>
      <c r="C5" s="221">
        <f>'4 สรุปตามการจัดสรร 2+3'!C29</f>
        <v>0</v>
      </c>
      <c r="D5" s="219"/>
      <c r="E5" s="221">
        <f>SUM(C4:C5)</f>
        <v>3000200</v>
      </c>
    </row>
    <row r="6" spans="1:6" s="222" customFormat="1" ht="27.75" customHeight="1" x14ac:dyDescent="0.35">
      <c r="A6" s="211" t="s">
        <v>131</v>
      </c>
      <c r="B6" s="230"/>
      <c r="C6" s="220"/>
      <c r="D6" s="220"/>
      <c r="E6" s="215">
        <f>E3-E5</f>
        <v>11989900</v>
      </c>
    </row>
    <row r="7" spans="1:6" ht="27.75" customHeight="1" x14ac:dyDescent="0.35">
      <c r="A7" s="224" t="s">
        <v>144</v>
      </c>
    </row>
    <row r="8" spans="1:6" ht="27.75" customHeight="1" x14ac:dyDescent="0.35">
      <c r="A8" s="216" t="s">
        <v>135</v>
      </c>
      <c r="C8" s="216">
        <f>'4 สรุปตามการจัดสรร 2+3'!D15</f>
        <v>560474.9</v>
      </c>
    </row>
    <row r="9" spans="1:6" ht="27.75" customHeight="1" x14ac:dyDescent="0.35">
      <c r="A9" s="216" t="s">
        <v>136</v>
      </c>
      <c r="C9" s="216" t="e">
        <f>'4 สรุปตามการจัดสรร 2+3'!#REF!</f>
        <v>#REF!</v>
      </c>
    </row>
    <row r="10" spans="1:6" ht="27.75" customHeight="1" x14ac:dyDescent="0.35">
      <c r="A10" s="216" t="s">
        <v>137</v>
      </c>
      <c r="C10" s="216">
        <f>'4 สรุปตามการจัดสรร 2+3'!D27</f>
        <v>2953736.55</v>
      </c>
      <c r="E10" s="216" t="e">
        <f>SUM(C8:C10)</f>
        <v>#REF!</v>
      </c>
    </row>
    <row r="11" spans="1:6" ht="27.75" customHeight="1" x14ac:dyDescent="0.35">
      <c r="A11" s="211" t="s">
        <v>142</v>
      </c>
      <c r="B11" s="215"/>
      <c r="C11" s="215"/>
      <c r="D11" s="215"/>
      <c r="E11" s="215" t="e">
        <f>E6-E10</f>
        <v>#REF!</v>
      </c>
      <c r="F11" s="222"/>
    </row>
    <row r="12" spans="1:6" ht="27.75" customHeight="1" x14ac:dyDescent="0.35">
      <c r="A12" s="225" t="s">
        <v>141</v>
      </c>
    </row>
    <row r="13" spans="1:6" ht="27.75" customHeight="1" x14ac:dyDescent="0.35">
      <c r="A13" s="216" t="s">
        <v>138</v>
      </c>
      <c r="C13" s="216">
        <f>'4 สรุปตามการจัดสรร 2+3'!H15</f>
        <v>4046952.1</v>
      </c>
    </row>
    <row r="14" spans="1:6" ht="27.75" customHeight="1" x14ac:dyDescent="0.35">
      <c r="A14" s="216" t="s">
        <v>139</v>
      </c>
      <c r="C14" s="216" t="e">
        <f>'4 สรุปตามการจัดสรร 2+3'!#REF!</f>
        <v>#REF!</v>
      </c>
    </row>
    <row r="15" spans="1:6" ht="27.75" customHeight="1" x14ac:dyDescent="0.35">
      <c r="A15" s="216" t="s">
        <v>140</v>
      </c>
      <c r="C15" s="216">
        <f>'4 สรุปตามการจัดสรร 2+3'!H27</f>
        <v>11851636.449999999</v>
      </c>
      <c r="E15" s="216" t="e">
        <f>SUM(C13:C15)</f>
        <v>#REF!</v>
      </c>
    </row>
    <row r="16" spans="1:6" s="222" customFormat="1" ht="27.75" customHeight="1" thickBot="1" x14ac:dyDescent="0.4">
      <c r="A16" s="211" t="s">
        <v>143</v>
      </c>
      <c r="B16" s="215"/>
      <c r="C16" s="215"/>
      <c r="D16" s="215"/>
      <c r="E16" s="223" t="e">
        <f>E11-E15</f>
        <v>#REF!</v>
      </c>
    </row>
    <row r="17" ht="27.75" customHeight="1" thickTop="1" x14ac:dyDescent="0.35"/>
  </sheetData>
  <mergeCells count="1">
    <mergeCell ref="A1:D1"/>
  </mergeCells>
  <pageMargins left="0.70866141732283472" right="0.70866141732283472" top="0.74803149606299213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workbookViewId="0">
      <selection activeCell="I2" sqref="I2"/>
    </sheetView>
  </sheetViews>
  <sheetFormatPr defaultColWidth="9.140625" defaultRowHeight="19.5" x14ac:dyDescent="0.3"/>
  <cols>
    <col min="1" max="1" width="32.42578125" style="241" customWidth="1"/>
    <col min="2" max="2" width="16" style="241" customWidth="1"/>
    <col min="3" max="3" width="17.7109375" style="241" customWidth="1"/>
    <col min="4" max="4" width="13.42578125" style="241" customWidth="1"/>
    <col min="5" max="5" width="13.140625" style="241" customWidth="1"/>
    <col min="6" max="6" width="14" style="241" customWidth="1"/>
    <col min="7" max="7" width="13.85546875" style="250" customWidth="1"/>
    <col min="8" max="8" width="14.85546875" style="241" customWidth="1"/>
    <col min="9" max="9" width="26.42578125" style="241" customWidth="1"/>
    <col min="10" max="16384" width="9.140625" style="241"/>
  </cols>
  <sheetData>
    <row r="1" spans="1:9" ht="21" x14ac:dyDescent="0.35">
      <c r="A1" s="215" t="s">
        <v>212</v>
      </c>
    </row>
    <row r="2" spans="1:9" ht="20.25" thickBot="1" x14ac:dyDescent="0.35">
      <c r="H2" s="240"/>
      <c r="I2" s="241">
        <f>'4 สรุปตามการจัดสรร 2+3'!D3</f>
        <v>45653</v>
      </c>
    </row>
    <row r="3" spans="1:9" s="240" customFormat="1" x14ac:dyDescent="0.3">
      <c r="A3" s="3098" t="s">
        <v>145</v>
      </c>
      <c r="B3" s="255" t="s">
        <v>174</v>
      </c>
      <c r="C3" s="255" t="s">
        <v>173</v>
      </c>
      <c r="D3" s="3097" t="s">
        <v>146</v>
      </c>
      <c r="E3" s="3097"/>
      <c r="F3" s="3097"/>
      <c r="G3" s="3097" t="s">
        <v>16</v>
      </c>
      <c r="H3" s="3097"/>
      <c r="I3" s="3098" t="s">
        <v>18</v>
      </c>
    </row>
    <row r="4" spans="1:9" s="240" customFormat="1" x14ac:dyDescent="0.3">
      <c r="A4" s="3099"/>
      <c r="B4" s="256" t="str">
        <f>'2.รายละเอียดการใช้เงิน'!B4</f>
        <v>ต.ค.59-ก.ย. 60</v>
      </c>
      <c r="C4" s="256" t="str">
        <f>'2.รายละเอียดการใช้เงิน'!C4</f>
        <v xml:space="preserve"> ต.ค. 59-มี.ค. 60</v>
      </c>
      <c r="D4" s="3101" t="s">
        <v>34</v>
      </c>
      <c r="E4" s="3103" t="s">
        <v>159</v>
      </c>
      <c r="F4" s="315" t="s">
        <v>28</v>
      </c>
      <c r="G4" s="305" t="str">
        <f>'2.รายละเอียดการใช้เงิน'!G4</f>
        <v>ต.ค.59-ก.ย. 60</v>
      </c>
      <c r="H4" s="257" t="str">
        <f>'2.รายละเอียดการใช้เงิน'!H4</f>
        <v xml:space="preserve"> ต.ค. 59-มี.ค. 60</v>
      </c>
      <c r="I4" s="3099"/>
    </row>
    <row r="5" spans="1:9" s="240" customFormat="1" x14ac:dyDescent="0.3">
      <c r="A5" s="3100"/>
      <c r="B5" s="324" t="s">
        <v>221</v>
      </c>
      <c r="C5" s="324" t="s">
        <v>222</v>
      </c>
      <c r="D5" s="3102"/>
      <c r="E5" s="3104"/>
      <c r="F5" s="325" t="s">
        <v>223</v>
      </c>
      <c r="G5" s="326" t="s">
        <v>224</v>
      </c>
      <c r="H5" s="327" t="s">
        <v>225</v>
      </c>
      <c r="I5" s="3100"/>
    </row>
    <row r="6" spans="1:9" s="240" customFormat="1" ht="16.5" customHeight="1" x14ac:dyDescent="0.3">
      <c r="A6" s="258"/>
      <c r="B6" s="303"/>
      <c r="C6" s="303"/>
      <c r="D6" s="308"/>
      <c r="E6" s="245"/>
      <c r="F6" s="311"/>
      <c r="G6" s="306"/>
      <c r="H6" s="304"/>
      <c r="I6" s="258"/>
    </row>
    <row r="7" spans="1:9" s="240" customFormat="1" x14ac:dyDescent="0.3">
      <c r="A7" s="316" t="s">
        <v>216</v>
      </c>
      <c r="B7" s="316" t="e">
        <f>SUM(B8:B15)</f>
        <v>#REF!</v>
      </c>
      <c r="C7" s="316" t="e">
        <f t="shared" ref="C7:H7" si="0">SUM(C8:C15)</f>
        <v>#REF!</v>
      </c>
      <c r="D7" s="317">
        <f>SUM(D8:D15)</f>
        <v>121222</v>
      </c>
      <c r="E7" s="328">
        <f t="shared" si="0"/>
        <v>2231992.1999999997</v>
      </c>
      <c r="F7" s="318">
        <f t="shared" si="0"/>
        <v>2353214.1999999997</v>
      </c>
      <c r="G7" s="316" t="e">
        <f>SUM(G8:G15)</f>
        <v>#REF!</v>
      </c>
      <c r="H7" s="316" t="e">
        <f t="shared" si="0"/>
        <v>#REF!</v>
      </c>
      <c r="I7" s="316"/>
    </row>
    <row r="8" spans="1:9" s="250" customFormat="1" x14ac:dyDescent="0.3">
      <c r="A8" s="262" t="s">
        <v>147</v>
      </c>
      <c r="B8" s="262">
        <f>'2.รายละเอียดการใช้เงิน'!B8</f>
        <v>2819835</v>
      </c>
      <c r="C8" s="262">
        <f>'2.รายละเอียดการใช้เงิน'!C8</f>
        <v>4009695</v>
      </c>
      <c r="D8" s="309">
        <f>'2.รายละเอียดการใช้เงิน'!D8</f>
        <v>121222</v>
      </c>
      <c r="E8" s="249">
        <f>'2.รายละเอียดการใช้เงิน'!E8</f>
        <v>627530.1</v>
      </c>
      <c r="F8" s="312">
        <f>'2.รายละเอียดการใช้เงิน'!F8</f>
        <v>748752.1</v>
      </c>
      <c r="G8" s="262">
        <f>'2.รายละเอียดการใช้เงิน'!G8</f>
        <v>2071082.9</v>
      </c>
      <c r="H8" s="262">
        <f>'2.รายละเอียดการใช้เงิน'!H8</f>
        <v>3260942.9</v>
      </c>
      <c r="I8" s="307"/>
    </row>
    <row r="9" spans="1:9" s="250" customFormat="1" x14ac:dyDescent="0.3">
      <c r="A9" s="262" t="s">
        <v>188</v>
      </c>
      <c r="B9" s="262">
        <f>'2.รายละเอียดการใช้เงิน'!B20</f>
        <v>585000</v>
      </c>
      <c r="C9" s="262">
        <f>'2.รายละเอียดการใช้เงิน'!C20</f>
        <v>440000</v>
      </c>
      <c r="D9" s="309">
        <f>'2.รายละเอียดการใช้เงิน'!D20</f>
        <v>0</v>
      </c>
      <c r="E9" s="249">
        <f>'2.รายละเอียดการใช้เงิน'!E20</f>
        <v>0</v>
      </c>
      <c r="F9" s="312">
        <f>'2.รายละเอียดการใช้เงิน'!F20</f>
        <v>0</v>
      </c>
      <c r="G9" s="262">
        <f>'2.รายละเอียดการใช้เงิน'!G20</f>
        <v>585000</v>
      </c>
      <c r="H9" s="262">
        <f>'2.รายละเอียดการใช้เงิน'!H20</f>
        <v>440000</v>
      </c>
      <c r="I9" s="307"/>
    </row>
    <row r="10" spans="1:9" s="250" customFormat="1" x14ac:dyDescent="0.3">
      <c r="A10" s="262" t="s">
        <v>168</v>
      </c>
      <c r="B10" s="262">
        <f>'2.รายละเอียดการใช้เงิน'!B26</f>
        <v>0</v>
      </c>
      <c r="C10" s="262">
        <f>'2.รายละเอียดการใช้เงิน'!C26</f>
        <v>2707360</v>
      </c>
      <c r="D10" s="309">
        <f>'2.รายละเอียดการใช้เงิน'!D26</f>
        <v>0</v>
      </c>
      <c r="E10" s="249">
        <f>'2.รายละเอียดการใช้เงิน'!E26</f>
        <v>0</v>
      </c>
      <c r="F10" s="312">
        <f>'2.รายละเอียดการใช้เงิน'!F26</f>
        <v>0</v>
      </c>
      <c r="G10" s="262">
        <f>'2.รายละเอียดการใช้เงิน'!G26</f>
        <v>0</v>
      </c>
      <c r="H10" s="262">
        <f>'2.รายละเอียดการใช้เงิน'!H26</f>
        <v>2707360</v>
      </c>
      <c r="I10" s="262"/>
    </row>
    <row r="11" spans="1:9" s="250" customFormat="1" x14ac:dyDescent="0.3">
      <c r="A11" s="262" t="s">
        <v>176</v>
      </c>
      <c r="B11" s="262">
        <f>'2.รายละเอียดการใช้เงิน'!B35</f>
        <v>10154800</v>
      </c>
      <c r="C11" s="262">
        <f>'2.รายละเอียดการใช้เงิน'!C35</f>
        <v>1917676</v>
      </c>
      <c r="D11" s="309">
        <f>'2.รายละเอียดการใช้เงิน'!D35</f>
        <v>0</v>
      </c>
      <c r="E11" s="249">
        <f>'2.รายละเอียดการใช้เงิน'!E35</f>
        <v>996341</v>
      </c>
      <c r="F11" s="312">
        <f>'2.รายละเอียดการใช้เงิน'!F35</f>
        <v>996341</v>
      </c>
      <c r="G11" s="262">
        <f>'2.รายละเอียดการใช้เงิน'!G35</f>
        <v>9158459</v>
      </c>
      <c r="H11" s="262">
        <f>'2.รายละเอียดการใช้เงิน'!H35</f>
        <v>921335</v>
      </c>
      <c r="I11" s="307"/>
    </row>
    <row r="12" spans="1:9" s="250" customFormat="1" x14ac:dyDescent="0.3">
      <c r="A12" s="262" t="s">
        <v>183</v>
      </c>
      <c r="B12" s="262">
        <f>'2.รายละเอียดการใช้เงิน'!B43</f>
        <v>4225840</v>
      </c>
      <c r="C12" s="262">
        <f>'2.รายละเอียดการใช้เงิน'!C43</f>
        <v>3462900</v>
      </c>
      <c r="D12" s="309">
        <f>'2.รายละเอียดการใช้เงิน'!D43</f>
        <v>0</v>
      </c>
      <c r="E12" s="249">
        <f>'2.รายละเอียดการใช้เงิน'!E43</f>
        <v>602755</v>
      </c>
      <c r="F12" s="312">
        <f>'2.รายละเอียดการใช้เงิน'!F43</f>
        <v>602755</v>
      </c>
      <c r="G12" s="262">
        <f>'2.รายละเอียดการใช้เงิน'!G43</f>
        <v>3623085</v>
      </c>
      <c r="H12" s="262">
        <f>'2.รายละเอียดการใช้เงิน'!H43</f>
        <v>2860145</v>
      </c>
      <c r="I12" s="307" t="s">
        <v>220</v>
      </c>
    </row>
    <row r="13" spans="1:9" s="250" customFormat="1" x14ac:dyDescent="0.3">
      <c r="A13" s="262" t="s">
        <v>189</v>
      </c>
      <c r="B13" s="262">
        <f>'2.รายละเอียดการใช้เงิน'!B51</f>
        <v>1950060</v>
      </c>
      <c r="C13" s="262">
        <f>'2.รายละเอียดการใช้เงิน'!C51</f>
        <v>1125550</v>
      </c>
      <c r="D13" s="309">
        <f>'2.รายละเอียดการใช้เงิน'!D51</f>
        <v>0</v>
      </c>
      <c r="E13" s="249">
        <f>'2.รายละเอียดการใช้เงิน'!E51</f>
        <v>2985.3</v>
      </c>
      <c r="F13" s="312">
        <f>'2.รายละเอียดการใช้เงิน'!F51</f>
        <v>2985.3</v>
      </c>
      <c r="G13" s="262">
        <f>'2.รายละเอียดการใช้เงิน'!G51</f>
        <v>1947074.7</v>
      </c>
      <c r="H13" s="262">
        <f>'2.รายละเอียดการใช้เงิน'!H51</f>
        <v>1122564.7</v>
      </c>
      <c r="I13" s="262"/>
    </row>
    <row r="14" spans="1:9" s="250" customFormat="1" x14ac:dyDescent="0.3">
      <c r="A14" s="262" t="s">
        <v>190</v>
      </c>
      <c r="B14" s="262">
        <f>'2.รายละเอียดการใช้เงิน'!B63</f>
        <v>464787</v>
      </c>
      <c r="C14" s="262">
        <f>'2.รายละเอียดการใช้เงิน'!C63</f>
        <v>180500</v>
      </c>
      <c r="D14" s="309">
        <f>'2.รายละเอียดการใช้เงิน'!D63</f>
        <v>0</v>
      </c>
      <c r="E14" s="249">
        <f>'2.รายละเอียดการใช้เงิน'!E63</f>
        <v>2380.8000000000002</v>
      </c>
      <c r="F14" s="312">
        <f>'2.รายละเอียดการใช้เงิน'!F63</f>
        <v>2380.8000000000002</v>
      </c>
      <c r="G14" s="262">
        <f>'2.รายละเอียดการใช้เงิน'!G63</f>
        <v>462406.2</v>
      </c>
      <c r="H14" s="262">
        <f>'2.รายละเอียดการใช้เงิน'!H63</f>
        <v>178119.2</v>
      </c>
      <c r="I14" s="262"/>
    </row>
    <row r="15" spans="1:9" s="250" customFormat="1" x14ac:dyDescent="0.3">
      <c r="A15" s="262" t="s">
        <v>192</v>
      </c>
      <c r="B15" s="262" t="e">
        <f>'2.รายละเอียดการใช้เงิน'!B75</f>
        <v>#REF!</v>
      </c>
      <c r="C15" s="262" t="e">
        <f>'2.รายละเอียดการใช้เงิน'!C75</f>
        <v>#REF!</v>
      </c>
      <c r="D15" s="309">
        <f>'2.รายละเอียดการใช้เงิน'!D75</f>
        <v>0</v>
      </c>
      <c r="E15" s="249">
        <f>'2.รายละเอียดการใช้เงิน'!E75</f>
        <v>0</v>
      </c>
      <c r="F15" s="312">
        <f>'2.รายละเอียดการใช้เงิน'!F75</f>
        <v>0</v>
      </c>
      <c r="G15" s="262" t="e">
        <f>'2.รายละเอียดการใช้เงิน'!G75</f>
        <v>#REF!</v>
      </c>
      <c r="H15" s="262" t="e">
        <f>'2.รายละเอียดการใช้เงิน'!H75</f>
        <v>#REF!</v>
      </c>
      <c r="I15" s="262"/>
    </row>
    <row r="16" spans="1:9" s="250" customFormat="1" x14ac:dyDescent="0.3">
      <c r="A16" s="319" t="s">
        <v>217</v>
      </c>
      <c r="B16" s="319">
        <f>SUM(B17)</f>
        <v>0</v>
      </c>
      <c r="C16" s="319">
        <f t="shared" ref="C16:H16" si="1">SUM(C17)</f>
        <v>0</v>
      </c>
      <c r="D16" s="320">
        <f t="shared" si="1"/>
        <v>0</v>
      </c>
      <c r="E16" s="321">
        <f t="shared" si="1"/>
        <v>0</v>
      </c>
      <c r="F16" s="322">
        <f t="shared" si="1"/>
        <v>0</v>
      </c>
      <c r="G16" s="319">
        <f t="shared" si="1"/>
        <v>0</v>
      </c>
      <c r="H16" s="319">
        <f t="shared" si="1"/>
        <v>0</v>
      </c>
      <c r="I16" s="319"/>
    </row>
    <row r="17" spans="1:9" s="250" customFormat="1" ht="20.25" thickBot="1" x14ac:dyDescent="0.35">
      <c r="A17" s="269" t="s">
        <v>218</v>
      </c>
      <c r="B17" s="269">
        <f>'3.ตารางโอนเงินให้ สศท.'!B18</f>
        <v>0</v>
      </c>
      <c r="C17" s="269"/>
      <c r="D17" s="310"/>
      <c r="E17" s="314"/>
      <c r="F17" s="313"/>
      <c r="G17" s="269"/>
      <c r="H17" s="269"/>
      <c r="I17" s="323" t="s">
        <v>219</v>
      </c>
    </row>
    <row r="18" spans="1:9" s="340" customFormat="1" ht="27" customHeight="1" x14ac:dyDescent="0.3">
      <c r="A18" s="246" t="s">
        <v>233</v>
      </c>
      <c r="B18" s="250"/>
      <c r="C18" s="250"/>
      <c r="D18" s="250"/>
      <c r="E18" s="250"/>
      <c r="F18" s="250"/>
      <c r="G18" s="250"/>
      <c r="H18" s="250"/>
      <c r="I18" s="250"/>
    </row>
    <row r="19" spans="1:9" s="341" customFormat="1" ht="18.75" x14ac:dyDescent="0.3">
      <c r="A19" s="342" t="s">
        <v>227</v>
      </c>
      <c r="B19" s="339"/>
      <c r="C19" s="339"/>
      <c r="D19" s="342">
        <f>'4 สรุปตามการจัดสรร 2+3'!C6</f>
        <v>14990100</v>
      </c>
      <c r="E19" s="339"/>
      <c r="F19" s="339"/>
      <c r="G19" s="339"/>
      <c r="H19" s="339"/>
      <c r="I19" s="339"/>
    </row>
    <row r="20" spans="1:9" s="341" customFormat="1" ht="18.75" x14ac:dyDescent="0.3">
      <c r="A20" s="343" t="s">
        <v>232</v>
      </c>
      <c r="B20" s="339"/>
      <c r="C20" s="339">
        <f>'4 สรุปตามการจัดสรร 2+3'!C8</f>
        <v>3000200</v>
      </c>
      <c r="D20" s="339"/>
      <c r="E20" s="339"/>
      <c r="F20" s="339"/>
      <c r="G20" s="339"/>
      <c r="H20" s="339"/>
      <c r="I20" s="339"/>
    </row>
    <row r="21" spans="1:9" s="341" customFormat="1" ht="18.75" x14ac:dyDescent="0.3">
      <c r="A21" s="339" t="s">
        <v>231</v>
      </c>
      <c r="B21" s="339"/>
      <c r="C21" s="339">
        <f>'4 สรุปตามการจัดสรร 2+3'!C29</f>
        <v>0</v>
      </c>
      <c r="D21" s="339"/>
      <c r="E21" s="339"/>
      <c r="F21" s="339"/>
      <c r="G21" s="339"/>
      <c r="H21" s="339"/>
      <c r="I21" s="339"/>
    </row>
    <row r="22" spans="1:9" s="341" customFormat="1" ht="18.75" x14ac:dyDescent="0.3">
      <c r="A22" s="339" t="s">
        <v>228</v>
      </c>
      <c r="B22" s="339"/>
      <c r="C22" s="339">
        <f>'4 สรุปตามการจัดสรร 2+3'!C15</f>
        <v>4607427</v>
      </c>
      <c r="D22" s="339"/>
      <c r="E22" s="339"/>
      <c r="F22" s="339"/>
      <c r="G22" s="339"/>
      <c r="H22" s="339"/>
      <c r="I22" s="339"/>
    </row>
    <row r="23" spans="1:9" s="341" customFormat="1" ht="18.75" x14ac:dyDescent="0.3">
      <c r="A23" s="339" t="s">
        <v>229</v>
      </c>
      <c r="B23" s="339"/>
      <c r="C23" s="339" t="e">
        <f>'4 สรุปตามการจัดสรร 2+3'!#REF!</f>
        <v>#REF!</v>
      </c>
      <c r="D23" s="339"/>
      <c r="E23" s="339"/>
      <c r="F23" s="339"/>
      <c r="G23" s="339"/>
      <c r="H23" s="339"/>
      <c r="I23" s="339"/>
    </row>
    <row r="24" spans="1:9" s="341" customFormat="1" ht="18.75" x14ac:dyDescent="0.3">
      <c r="A24" s="339" t="s">
        <v>230</v>
      </c>
      <c r="B24" s="339"/>
      <c r="C24" s="339">
        <f>'4 สรุปตามการจัดสรร 2+3'!C27</f>
        <v>14805373</v>
      </c>
      <c r="D24" s="342" t="e">
        <f>SUM(C20:C24)</f>
        <v>#REF!</v>
      </c>
      <c r="E24" s="339"/>
      <c r="F24" s="339"/>
      <c r="G24" s="339"/>
      <c r="H24" s="339"/>
      <c r="I24" s="339"/>
    </row>
    <row r="25" spans="1:9" s="341" customFormat="1" thickBot="1" x14ac:dyDescent="0.35">
      <c r="A25" s="342" t="s">
        <v>16</v>
      </c>
      <c r="B25" s="339"/>
      <c r="C25" s="339"/>
      <c r="D25" s="344" t="e">
        <f>D19-D24</f>
        <v>#REF!</v>
      </c>
      <c r="E25" s="339"/>
      <c r="F25" s="339"/>
      <c r="G25" s="339"/>
      <c r="H25" s="339"/>
      <c r="I25" s="339"/>
    </row>
    <row r="26" spans="1:9" s="340" customFormat="1" ht="20.25" thickTop="1" x14ac:dyDescent="0.3">
      <c r="A26" s="250"/>
      <c r="B26" s="250"/>
      <c r="C26" s="250"/>
      <c r="D26" s="250"/>
      <c r="E26" s="250"/>
      <c r="F26" s="250"/>
      <c r="G26" s="250"/>
      <c r="H26" s="250"/>
      <c r="I26" s="250"/>
    </row>
  </sheetData>
  <mergeCells count="6">
    <mergeCell ref="D3:F3"/>
    <mergeCell ref="G3:H3"/>
    <mergeCell ref="I3:I5"/>
    <mergeCell ref="A3:A5"/>
    <mergeCell ref="D4:D5"/>
    <mergeCell ref="E4:E5"/>
  </mergeCells>
  <pageMargins left="0.39370078740157483" right="0.31496062992125984" top="0.55118110236220474" bottom="0.35433070866141736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1"/>
  <sheetViews>
    <sheetView workbookViewId="0">
      <pane ySplit="1" topLeftCell="A2" activePane="bottomLeft" state="frozen"/>
      <selection pane="bottomLeft" activeCell="H2" sqref="H2:I2"/>
    </sheetView>
  </sheetViews>
  <sheetFormatPr defaultColWidth="9.140625" defaultRowHeight="19.5" x14ac:dyDescent="0.3"/>
  <cols>
    <col min="1" max="1" width="29.7109375" style="241" customWidth="1"/>
    <col min="2" max="2" width="14.85546875" style="241" customWidth="1"/>
    <col min="3" max="3" width="17" style="241" customWidth="1"/>
    <col min="4" max="6" width="12.7109375" style="241" customWidth="1"/>
    <col min="7" max="7" width="13.140625" style="250" customWidth="1"/>
    <col min="8" max="8" width="13.42578125" style="241" customWidth="1"/>
    <col min="9" max="9" width="17.28515625" style="241" customWidth="1"/>
    <col min="10" max="10" width="10" style="241" bestFit="1" customWidth="1"/>
    <col min="11" max="16384" width="9.140625" style="241"/>
  </cols>
  <sheetData>
    <row r="1" spans="1:10" ht="31.5" customHeight="1" x14ac:dyDescent="0.35">
      <c r="A1" s="215" t="s">
        <v>213</v>
      </c>
    </row>
    <row r="2" spans="1:10" ht="20.25" thickBot="1" x14ac:dyDescent="0.35">
      <c r="H2" s="3105">
        <f>'4 สรุปตามการจัดสรร 2+3'!D3</f>
        <v>45653</v>
      </c>
      <c r="I2" s="3105"/>
    </row>
    <row r="3" spans="1:10" s="240" customFormat="1" x14ac:dyDescent="0.3">
      <c r="A3" s="3098" t="s">
        <v>0</v>
      </c>
      <c r="B3" s="255" t="s">
        <v>174</v>
      </c>
      <c r="C3" s="255" t="s">
        <v>173</v>
      </c>
      <c r="D3" s="3097" t="s">
        <v>146</v>
      </c>
      <c r="E3" s="3097"/>
      <c r="F3" s="3097"/>
      <c r="G3" s="3097" t="s">
        <v>16</v>
      </c>
      <c r="H3" s="3097"/>
      <c r="I3" s="3098" t="s">
        <v>18</v>
      </c>
    </row>
    <row r="4" spans="1:10" s="240" customFormat="1" x14ac:dyDescent="0.3">
      <c r="A4" s="3099"/>
      <c r="B4" s="256" t="s">
        <v>234</v>
      </c>
      <c r="C4" s="256" t="s">
        <v>238</v>
      </c>
      <c r="D4" s="270" t="s">
        <v>34</v>
      </c>
      <c r="E4" s="242" t="s">
        <v>159</v>
      </c>
      <c r="F4" s="276" t="s">
        <v>28</v>
      </c>
      <c r="G4" s="345" t="str">
        <f>B4</f>
        <v>ต.ค.59-ก.ย. 60</v>
      </c>
      <c r="H4" s="346" t="str">
        <f>C4</f>
        <v xml:space="preserve"> ต.ค. 59-มี.ค. 60</v>
      </c>
      <c r="I4" s="3099"/>
    </row>
    <row r="5" spans="1:10" s="240" customFormat="1" x14ac:dyDescent="0.3">
      <c r="A5" s="3100"/>
      <c r="B5" s="259" t="s">
        <v>35</v>
      </c>
      <c r="C5" s="259" t="s">
        <v>36</v>
      </c>
      <c r="D5" s="271"/>
      <c r="E5" s="253"/>
      <c r="F5" s="277" t="s">
        <v>43</v>
      </c>
      <c r="G5" s="285" t="s">
        <v>210</v>
      </c>
      <c r="H5" s="277" t="s">
        <v>211</v>
      </c>
      <c r="I5" s="3100"/>
    </row>
    <row r="6" spans="1:10" s="302" customFormat="1" ht="30" customHeight="1" x14ac:dyDescent="0.5">
      <c r="A6" s="297" t="s">
        <v>215</v>
      </c>
      <c r="B6" s="297" t="e">
        <f t="shared" ref="B6:H6" si="0">B8+B26+B35+B43+B20+B51+B63+B75</f>
        <v>#REF!</v>
      </c>
      <c r="C6" s="297" t="e">
        <f t="shared" si="0"/>
        <v>#REF!</v>
      </c>
      <c r="D6" s="298">
        <f t="shared" si="0"/>
        <v>121222</v>
      </c>
      <c r="E6" s="299">
        <f t="shared" si="0"/>
        <v>2231992.1999999997</v>
      </c>
      <c r="F6" s="300">
        <f>F8+F26+F35+F43+F20+F51+F63+F75</f>
        <v>2353214.1999999997</v>
      </c>
      <c r="G6" s="301" t="e">
        <f>G8+G26+G35+G43+G20+G51+G63+G75</f>
        <v>#REF!</v>
      </c>
      <c r="H6" s="300" t="e">
        <f t="shared" si="0"/>
        <v>#REF!</v>
      </c>
      <c r="I6" s="297"/>
    </row>
    <row r="7" spans="1:10" s="240" customFormat="1" ht="13.5" customHeight="1" x14ac:dyDescent="0.3">
      <c r="A7" s="292"/>
      <c r="B7" s="293"/>
      <c r="C7" s="293"/>
      <c r="D7" s="294"/>
      <c r="E7" s="254"/>
      <c r="F7" s="295"/>
      <c r="G7" s="296"/>
      <c r="H7" s="295"/>
      <c r="I7" s="293"/>
    </row>
    <row r="8" spans="1:10" x14ac:dyDescent="0.3">
      <c r="A8" s="260" t="s">
        <v>147</v>
      </c>
      <c r="B8" s="260">
        <f>SUM(B9:B18)</f>
        <v>2819835</v>
      </c>
      <c r="C8" s="260">
        <f>SUM(C9:C18)</f>
        <v>4009695</v>
      </c>
      <c r="D8" s="272">
        <f>SUM(D9:D18)</f>
        <v>121222</v>
      </c>
      <c r="E8" s="247">
        <f>SUM(E9:E18)</f>
        <v>627530.1</v>
      </c>
      <c r="F8" s="278">
        <f>SUM(F9:F18)</f>
        <v>748752.1</v>
      </c>
      <c r="G8" s="286">
        <f>B8-F8</f>
        <v>2071082.9</v>
      </c>
      <c r="H8" s="283">
        <f>C8-F8</f>
        <v>3260942.9</v>
      </c>
      <c r="I8" s="260"/>
      <c r="J8" s="241">
        <f>E8+E20+E51+E63</f>
        <v>632896.20000000007</v>
      </c>
    </row>
    <row r="9" spans="1:10" ht="23.25" customHeight="1" x14ac:dyDescent="0.3">
      <c r="A9" s="261" t="s">
        <v>148</v>
      </c>
      <c r="B9" s="261">
        <f>'2 จัดสรรให้ส่วนฝ่าย'!B6-'2 จัดสรรให้ส่วนฝ่าย'!B22-'2 จัดสรรให้ส่วนฝ่าย'!B25</f>
        <v>939210</v>
      </c>
      <c r="C9" s="261">
        <f>'[1]2.รายละเอียดการใช้เงิน'!C9</f>
        <v>398800</v>
      </c>
      <c r="D9" s="273">
        <f>'2 จัดสรรให้ส่วนฝ่าย'!D6-'2 จัดสรรให้ส่วนฝ่าย'!D18-'2 จัดสรรให้ส่วนฝ่าย'!D22-'2 จัดสรรให้ส่วนฝ่าย'!D24-'2 จัดสรรให้ส่วนฝ่าย'!D25+'4.ต้นทุน'!C5</f>
        <v>23512</v>
      </c>
      <c r="E9" s="243">
        <f>'2 จัดสรรให้ส่วนฝ่าย'!E6-'2 จัดสรรให้ส่วนฝ่าย'!E18-'2 จัดสรรให้ส่วนฝ่าย'!E22-'2 จัดสรรให้ส่วนฝ่าย'!E24-'2 จัดสรรให้ส่วนฝ่าย'!E25+'4.ต้นทุน'!D5</f>
        <v>115146.72</v>
      </c>
      <c r="F9" s="279">
        <f>SUM(D9:E9)</f>
        <v>138658.72</v>
      </c>
      <c r="G9" s="287">
        <f t="shared" ref="G9:G18" si="1">B9-F9</f>
        <v>800551.28</v>
      </c>
      <c r="H9" s="284">
        <f>C9-F9</f>
        <v>260141.28</v>
      </c>
      <c r="I9" s="261"/>
    </row>
    <row r="10" spans="1:10" ht="23.25" customHeight="1" x14ac:dyDescent="0.3">
      <c r="A10" s="261" t="s">
        <v>149</v>
      </c>
      <c r="B10" s="261">
        <f>'2 จัดสรรให้ส่วนฝ่าย'!H6-'2 จัดสรรให้ส่วนฝ่าย'!H18-'2 จัดสรรให้ส่วนฝ่าย'!H22-'2 จัดสรรให้ส่วนฝ่าย'!H25</f>
        <v>14000</v>
      </c>
      <c r="C10" s="261">
        <f>'[1]2.รายละเอียดการใช้เงิน'!C10</f>
        <v>469800</v>
      </c>
      <c r="D10" s="273">
        <f>'2 จัดสรรให้ส่วนฝ่าย'!J6-'2 จัดสรรให้ส่วนฝ่าย'!J18-'2 จัดสรรให้ส่วนฝ่าย'!J22-'2 จัดสรรให้ส่วนฝ่าย'!J24-'2 จัดสรรให้ส่วนฝ่าย'!J25+'4.ต้นทุน'!F5</f>
        <v>990</v>
      </c>
      <c r="E10" s="243">
        <f>'2 จัดสรรให้ส่วนฝ่าย'!K6-'2 จัดสรรให้ส่วนฝ่าย'!K18-'2 จัดสรรให้ส่วนฝ่าย'!K22-'2 จัดสรรให้ส่วนฝ่าย'!K24-'2 จัดสรรให้ส่วนฝ่าย'!K25+'4.ต้นทุน'!G5</f>
        <v>1407.86</v>
      </c>
      <c r="F10" s="279">
        <f t="shared" ref="F10:F18" si="2">SUM(D10:E10)</f>
        <v>2397.8599999999997</v>
      </c>
      <c r="G10" s="287">
        <f t="shared" si="1"/>
        <v>11602.14</v>
      </c>
      <c r="H10" s="284">
        <f t="shared" ref="H10:H18" si="3">C10-F10</f>
        <v>467402.14</v>
      </c>
      <c r="I10" s="261"/>
    </row>
    <row r="11" spans="1:10" ht="23.25" customHeight="1" x14ac:dyDescent="0.3">
      <c r="A11" s="261" t="s">
        <v>150</v>
      </c>
      <c r="B11" s="261">
        <f>'2 จัดสรรให้ส่วนฝ่าย'!B39-'2 จัดสรรให้ส่วนฝ่าย'!B58-'2 จัดสรรให้ส่วนฝ่าย'!B51</f>
        <v>291700</v>
      </c>
      <c r="C11" s="261">
        <f>'[1]2.รายละเอียดการใช้เงิน'!C11</f>
        <v>277900</v>
      </c>
      <c r="D11" s="273">
        <f>'2 จัดสรรให้ส่วนฝ่าย'!D39-'2 จัดสรรให้ส่วนฝ่าย'!D51-'2 จัดสรรให้ส่วนฝ่าย'!D55-'2 จัดสรรให้ส่วนฝ่าย'!D57-'2 จัดสรรให้ส่วนฝ่าย'!D58+'4.ต้นทุน'!C39</f>
        <v>680</v>
      </c>
      <c r="E11" s="243">
        <f>'2 จัดสรรให้ส่วนฝ่าย'!E39-'2 จัดสรรให้ส่วนฝ่าย'!E51-'2 จัดสรรให้ส่วนฝ่าย'!E55-'2 จัดสรรให้ส่วนฝ่าย'!E57-'2 จัดสรรให้ส่วนฝ่าย'!E58+'4.ต้นทุน'!D39</f>
        <v>28687.86</v>
      </c>
      <c r="F11" s="279">
        <f t="shared" si="2"/>
        <v>29367.86</v>
      </c>
      <c r="G11" s="287">
        <f t="shared" si="1"/>
        <v>262332.14</v>
      </c>
      <c r="H11" s="284">
        <f t="shared" si="3"/>
        <v>248532.14</v>
      </c>
      <c r="I11" s="261"/>
    </row>
    <row r="12" spans="1:10" ht="23.25" customHeight="1" x14ac:dyDescent="0.3">
      <c r="A12" s="261" t="s">
        <v>151</v>
      </c>
      <c r="B12" s="261">
        <f>'2 จัดสรรให้ส่วนฝ่าย'!H39-'2 จัดสรรให้ส่วนฝ่าย'!H55-'2 จัดสรรให้ส่วนฝ่าย'!H58-'2 จัดสรรให้ส่วนฝ่าย'!H51</f>
        <v>108750</v>
      </c>
      <c r="C12" s="261">
        <f>'[1]2.รายละเอียดการใช้เงิน'!C12</f>
        <v>209100</v>
      </c>
      <c r="D12" s="273">
        <f>'2 จัดสรรให้ส่วนฝ่าย'!J39-'2 จัดสรรให้ส่วนฝ่าย'!J51-'2 จัดสรรให้ส่วนฝ่าย'!J55-'2 จัดสรรให้ส่วนฝ่าย'!J57-'2 จัดสรรให้ส่วนฝ่าย'!J58+'4.ต้นทุน'!F39</f>
        <v>0</v>
      </c>
      <c r="E12" s="243">
        <f>'2 จัดสรรให้ส่วนฝ่าย'!K39-'2 จัดสรรให้ส่วนฝ่าย'!K51-'2 จัดสรรให้ส่วนฝ่าย'!K55-'2 จัดสรรให้ส่วนฝ่าย'!K57-'2 จัดสรรให้ส่วนฝ่าย'!K58+'4.ต้นทุน'!G39</f>
        <v>28465</v>
      </c>
      <c r="F12" s="279">
        <f t="shared" si="2"/>
        <v>28465</v>
      </c>
      <c r="G12" s="287">
        <f t="shared" si="1"/>
        <v>80285</v>
      </c>
      <c r="H12" s="284">
        <f t="shared" si="3"/>
        <v>180635</v>
      </c>
      <c r="I12" s="261"/>
    </row>
    <row r="13" spans="1:10" ht="23.25" customHeight="1" x14ac:dyDescent="0.3">
      <c r="A13" s="261" t="s">
        <v>152</v>
      </c>
      <c r="B13" s="261">
        <f>'2 จัดสรรให้ส่วนฝ่าย'!B69-'2 จัดสรรให้ส่วนฝ่าย'!B81-'2 จัดสรรให้ส่วนฝ่าย'!B85-'2 จัดสรรให้ส่วนฝ่าย'!B87-'2 จัดสรรให้ส่วนฝ่าย'!B88</f>
        <v>299800</v>
      </c>
      <c r="C13" s="261">
        <f>'[1]2.รายละเอียดการใช้เงิน'!C13</f>
        <v>27000</v>
      </c>
      <c r="D13" s="273">
        <f>'2 จัดสรรให้ส่วนฝ่าย'!D69-'2 จัดสรรให้ส่วนฝ่าย'!D81-'2 จัดสรรให้ส่วนฝ่าย'!D85-'2 จัดสรรให้ส่วนฝ่าย'!D87-'2 จัดสรรให้ส่วนฝ่าย'!D88+'4.ต้นทุน'!C76</f>
        <v>44240</v>
      </c>
      <c r="E13" s="243">
        <f>'2 จัดสรรให้ส่วนฝ่าย'!E69-'2 จัดสรรให้ส่วนฝ่าย'!E81-'2 จัดสรรให้ส่วนฝ่าย'!E85-'2 จัดสรรให้ส่วนฝ่าย'!E87-'2 จัดสรรให้ส่วนฝ่าย'!E88+'4.ต้นทุน'!D76</f>
        <v>120440</v>
      </c>
      <c r="F13" s="279">
        <f t="shared" si="2"/>
        <v>164680</v>
      </c>
      <c r="G13" s="287">
        <f t="shared" si="1"/>
        <v>135120</v>
      </c>
      <c r="H13" s="284">
        <f t="shared" si="3"/>
        <v>-137680</v>
      </c>
      <c r="I13" s="261"/>
    </row>
    <row r="14" spans="1:10" ht="23.25" customHeight="1" x14ac:dyDescent="0.3">
      <c r="A14" s="261" t="s">
        <v>153</v>
      </c>
      <c r="B14" s="261">
        <f>'2 จัดสรรให้ส่วนฝ่าย'!H69-'2 จัดสรรให้ส่วนฝ่าย'!H88-'2 จัดสรรให้ส่วนฝ่าย'!H81</f>
        <v>512075</v>
      </c>
      <c r="C14" s="261">
        <f>'[1]2.รายละเอียดการใช้เงิน'!C14</f>
        <v>289495</v>
      </c>
      <c r="D14" s="273">
        <f>'2 จัดสรรให้ส่วนฝ่าย'!J69-'2 จัดสรรให้ส่วนฝ่าย'!J81-'2 จัดสรรให้ส่วนฝ่าย'!J85-'2 จัดสรรให้ส่วนฝ่าย'!J87-'2 จัดสรรให้ส่วนฝ่าย'!J88+'4.ต้นทุน'!F76</f>
        <v>0</v>
      </c>
      <c r="E14" s="243">
        <f>'2 จัดสรรให้ส่วนฝ่าย'!K69-'2 จัดสรรให้ส่วนฝ่าย'!K81-'2 จัดสรรให้ส่วนฝ่าย'!K85-'2 จัดสรรให้ส่วนฝ่าย'!K87-'2 จัดสรรให้ส่วนฝ่าย'!K88+'4.ต้นทุน'!G76</f>
        <v>160088</v>
      </c>
      <c r="F14" s="279">
        <f t="shared" si="2"/>
        <v>160088</v>
      </c>
      <c r="G14" s="287">
        <f t="shared" si="1"/>
        <v>351987</v>
      </c>
      <c r="H14" s="284">
        <f t="shared" si="3"/>
        <v>129407</v>
      </c>
      <c r="I14" s="261"/>
    </row>
    <row r="15" spans="1:10" ht="23.25" customHeight="1" x14ac:dyDescent="0.3">
      <c r="A15" s="261" t="s">
        <v>154</v>
      </c>
      <c r="B15" s="261">
        <f>'2 จัดสรรให้ส่วนฝ่าย'!B99-'2 จัดสรรให้ส่วนฝ่าย'!B118-'2 จัดสรรให้ส่วนฝ่าย'!B115</f>
        <v>73000</v>
      </c>
      <c r="C15" s="261">
        <f>'[1]2.รายละเอียดการใช้เงิน'!C15</f>
        <v>387000</v>
      </c>
      <c r="D15" s="273">
        <f>'2 จัดสรรให้ส่วนฝ่าย'!D99-'2 จัดสรรให้ส่วนฝ่าย'!D111-'2 จัดสรรให้ส่วนฝ่าย'!D115-'2 จัดสรรให้ส่วนฝ่าย'!D117-'2 จัดสรรให้ส่วนฝ่าย'!D118+'4.ต้นทุน'!C113</f>
        <v>0</v>
      </c>
      <c r="E15" s="243">
        <f>'2 จัดสรรให้ส่วนฝ่าย'!E99-'2 จัดสรรให้ส่วนฝ่าย'!E111-'2 จัดสรรให้ส่วนฝ่าย'!E115-'2 จัดสรรให้ส่วนฝ่าย'!E117-'2 จัดสรรให้ส่วนฝ่าย'!E118+'4.ต้นทุน'!D113</f>
        <v>13240</v>
      </c>
      <c r="F15" s="279">
        <f t="shared" si="2"/>
        <v>13240</v>
      </c>
      <c r="G15" s="287">
        <f t="shared" si="1"/>
        <v>59760</v>
      </c>
      <c r="H15" s="284">
        <f t="shared" si="3"/>
        <v>373760</v>
      </c>
      <c r="I15" s="261"/>
    </row>
    <row r="16" spans="1:10" ht="23.25" customHeight="1" x14ac:dyDescent="0.3">
      <c r="A16" s="261" t="s">
        <v>155</v>
      </c>
      <c r="B16" s="261">
        <f>'2 จัดสรรให้ส่วนฝ่าย'!H99-'2 จัดสรรให้ส่วนฝ่าย'!H118</f>
        <v>161200</v>
      </c>
      <c r="C16" s="261">
        <f>'[1]2.รายละเอียดการใช้เงิน'!C16</f>
        <v>576000</v>
      </c>
      <c r="D16" s="273">
        <f>'2 จัดสรรให้ส่วนฝ่าย'!J99-'2 จัดสรรให้ส่วนฝ่าย'!J111-'2 จัดสรรให้ส่วนฝ่าย'!J115-'2 จัดสรรให้ส่วนฝ่าย'!J117-'2 จัดสรรให้ส่วนฝ่าย'!J118+'4.ต้นทุน'!F113</f>
        <v>51800</v>
      </c>
      <c r="E16" s="243">
        <f>'2 จัดสรรให้ส่วนฝ่าย'!K99-'2 จัดสรรให้ส่วนฝ่าย'!K111-'2 จัดสรรให้ส่วนฝ่าย'!K115-'2 จัดสรรให้ส่วนฝ่าย'!K117-'2 จัดสรรให้ส่วนฝ่าย'!K118+'4.ต้นทุน'!G113</f>
        <v>144021.29999999999</v>
      </c>
      <c r="F16" s="279">
        <f t="shared" si="2"/>
        <v>195821.3</v>
      </c>
      <c r="G16" s="287">
        <f t="shared" si="1"/>
        <v>-34621.299999999988</v>
      </c>
      <c r="H16" s="284">
        <f t="shared" si="3"/>
        <v>380178.7</v>
      </c>
      <c r="I16" s="261"/>
    </row>
    <row r="17" spans="1:9" ht="23.25" customHeight="1" x14ac:dyDescent="0.3">
      <c r="A17" s="261" t="s">
        <v>156</v>
      </c>
      <c r="B17" s="261">
        <f>'2 จัดสรรให้ส่วนฝ่าย'!B129-'2 จัดสรรให้ส่วนฝ่าย'!B141-'2 จัดสรรให้ส่วนฝ่าย'!B145-'2 จัดสรรให้ส่วนฝ่าย'!B148</f>
        <v>30100</v>
      </c>
      <c r="C17" s="261">
        <f>'[1]2.รายละเอียดการใช้เงิน'!C17</f>
        <v>693600</v>
      </c>
      <c r="D17" s="273">
        <f>'2 จัดสรรให้ส่วนฝ่าย'!D129-'2 จัดสรรให้ส่วนฝ่าย'!D141-'2 จัดสรรให้ส่วนฝ่าย'!D145-'2 จัดสรรให้ส่วนฝ่าย'!D147-'2 จัดสรรให้ส่วนฝ่าย'!D148+'4.ต้นทุน'!C150</f>
        <v>0</v>
      </c>
      <c r="E17" s="243">
        <f>'2 จัดสรรให้ส่วนฝ่าย'!E129-'2 จัดสรรให้ส่วนฝ่าย'!E141-'2 จัดสรรให้ส่วนฝ่าย'!E145-'2 จัดสรรให้ส่วนฝ่าย'!E147-'2 จัดสรรให้ส่วนฝ่าย'!E148+'4.ต้นทุน'!D150</f>
        <v>10698.36</v>
      </c>
      <c r="F17" s="279">
        <f t="shared" si="2"/>
        <v>10698.36</v>
      </c>
      <c r="G17" s="287">
        <f t="shared" si="1"/>
        <v>19401.64</v>
      </c>
      <c r="H17" s="284">
        <f t="shared" si="3"/>
        <v>682901.64</v>
      </c>
      <c r="I17" s="261"/>
    </row>
    <row r="18" spans="1:9" ht="23.25" customHeight="1" x14ac:dyDescent="0.3">
      <c r="A18" s="261" t="s">
        <v>157</v>
      </c>
      <c r="B18" s="261">
        <f>'2 จัดสรรให้ส่วนฝ่าย'!H129-'2 จัดสรรให้ส่วนฝ่าย'!H148</f>
        <v>390000</v>
      </c>
      <c r="C18" s="261">
        <f>'[1]2.รายละเอียดการใช้เงิน'!C18</f>
        <v>681000</v>
      </c>
      <c r="D18" s="273">
        <f>'2 จัดสรรให้ส่วนฝ่าย'!J129-'2 จัดสรรให้ส่วนฝ่าย'!J141-'2 จัดสรรให้ส่วนฝ่าย'!J145-'2 จัดสรรให้ส่วนฝ่าย'!J148+'4.ต้นทุน'!F150</f>
        <v>0</v>
      </c>
      <c r="E18" s="243">
        <f>'2 จัดสรรให้ส่วนฝ่าย'!K129-'2 จัดสรรให้ส่วนฝ่าย'!K141-'2 จัดสรรให้ส่วนฝ่าย'!K145-'2 จัดสรรให้ส่วนฝ่าย'!K148+'4.ต้นทุน'!G150</f>
        <v>5335</v>
      </c>
      <c r="F18" s="279">
        <f t="shared" si="2"/>
        <v>5335</v>
      </c>
      <c r="G18" s="287">
        <f t="shared" si="1"/>
        <v>384665</v>
      </c>
      <c r="H18" s="284">
        <f t="shared" si="3"/>
        <v>675665</v>
      </c>
      <c r="I18" s="261"/>
    </row>
    <row r="19" spans="1:9" ht="12" customHeight="1" x14ac:dyDescent="0.3">
      <c r="A19" s="267"/>
      <c r="B19" s="267"/>
      <c r="C19" s="267"/>
      <c r="D19" s="274"/>
      <c r="E19" s="244"/>
      <c r="F19" s="280"/>
      <c r="G19" s="290"/>
      <c r="H19" s="280"/>
      <c r="I19" s="267"/>
    </row>
    <row r="20" spans="1:9" x14ac:dyDescent="0.3">
      <c r="A20" s="263" t="s">
        <v>197</v>
      </c>
      <c r="B20" s="260">
        <f>SUM(B21:B24)</f>
        <v>585000</v>
      </c>
      <c r="C20" s="260">
        <f t="shared" ref="C20:H20" si="4">SUM(C21:C24)</f>
        <v>440000</v>
      </c>
      <c r="D20" s="272">
        <f t="shared" si="4"/>
        <v>0</v>
      </c>
      <c r="E20" s="247">
        <f t="shared" si="4"/>
        <v>0</v>
      </c>
      <c r="F20" s="278">
        <f t="shared" si="4"/>
        <v>0</v>
      </c>
      <c r="G20" s="289">
        <f t="shared" si="4"/>
        <v>585000</v>
      </c>
      <c r="H20" s="351">
        <f t="shared" si="4"/>
        <v>440000</v>
      </c>
      <c r="I20" s="260"/>
    </row>
    <row r="21" spans="1:9" ht="21.75" customHeight="1" x14ac:dyDescent="0.3">
      <c r="A21" s="261" t="s">
        <v>158</v>
      </c>
      <c r="B21" s="261">
        <f>[2]สรุป!$C$15</f>
        <v>240000</v>
      </c>
      <c r="C21" s="261">
        <f>'[1]2.รายละเอียดการใช้เงิน'!C21</f>
        <v>240000</v>
      </c>
      <c r="D21" s="273">
        <f>'2 จัดสรรให้ส่วนฝ่าย'!J18</f>
        <v>0</v>
      </c>
      <c r="E21" s="243">
        <f>'2 จัดสรรให้ส่วนฝ่าย'!K18</f>
        <v>0</v>
      </c>
      <c r="F21" s="279">
        <f>SUM(D21:E21)</f>
        <v>0</v>
      </c>
      <c r="G21" s="288">
        <f>B21-F21</f>
        <v>240000</v>
      </c>
      <c r="H21" s="279">
        <f>C21-F21</f>
        <v>240000</v>
      </c>
      <c r="I21" s="261"/>
    </row>
    <row r="22" spans="1:9" ht="21.75" customHeight="1" x14ac:dyDescent="0.3">
      <c r="A22" s="261" t="s">
        <v>150</v>
      </c>
      <c r="B22" s="261">
        <f>[2]สรุป!$D$15</f>
        <v>145000</v>
      </c>
      <c r="C22" s="261">
        <f>'[1]2.รายละเอียดการใช้เงิน'!C22</f>
        <v>0</v>
      </c>
      <c r="D22" s="273">
        <f>'2 จัดสรรให้ส่วนฝ่าย'!D51</f>
        <v>0</v>
      </c>
      <c r="E22" s="243">
        <f>'2 จัดสรรให้ส่วนฝ่าย'!E51</f>
        <v>0</v>
      </c>
      <c r="F22" s="279">
        <f>SUM(D22:E22)</f>
        <v>0</v>
      </c>
      <c r="G22" s="288">
        <f>B22-F22</f>
        <v>145000</v>
      </c>
      <c r="H22" s="279">
        <f>C22-F22</f>
        <v>0</v>
      </c>
      <c r="I22" s="261"/>
    </row>
    <row r="23" spans="1:9" ht="21.75" customHeight="1" x14ac:dyDescent="0.3">
      <c r="A23" s="261" t="s">
        <v>152</v>
      </c>
      <c r="B23" s="261">
        <f>[2]สรุป!$F$15</f>
        <v>100000</v>
      </c>
      <c r="C23" s="261">
        <f>'[1]2.รายละเอียดการใช้เงิน'!C23</f>
        <v>100000</v>
      </c>
      <c r="D23" s="273">
        <f>'2 จัดสรรให้ส่วนฝ่าย'!D81</f>
        <v>0</v>
      </c>
      <c r="E23" s="243">
        <f>'2 จัดสรรให้ส่วนฝ่าย'!E81</f>
        <v>0</v>
      </c>
      <c r="F23" s="279">
        <f>SUM(D23:E23)</f>
        <v>0</v>
      </c>
      <c r="G23" s="288">
        <f>B23-F23</f>
        <v>100000</v>
      </c>
      <c r="H23" s="279">
        <f>C23-F23</f>
        <v>100000</v>
      </c>
      <c r="I23" s="265" t="s">
        <v>226</v>
      </c>
    </row>
    <row r="24" spans="1:9" ht="21.75" customHeight="1" x14ac:dyDescent="0.3">
      <c r="A24" s="261" t="s">
        <v>153</v>
      </c>
      <c r="B24" s="261">
        <f>[2]สรุป!$G$15</f>
        <v>100000</v>
      </c>
      <c r="C24" s="261">
        <f>'[1]2.รายละเอียดการใช้เงิน'!C24</f>
        <v>100000</v>
      </c>
      <c r="D24" s="273">
        <f>'2 จัดสรรให้ส่วนฝ่าย'!J81</f>
        <v>0</v>
      </c>
      <c r="E24" s="243">
        <f>'2 จัดสรรให้ส่วนฝ่าย'!K81</f>
        <v>0</v>
      </c>
      <c r="F24" s="279">
        <f>SUM(D24:E24)</f>
        <v>0</v>
      </c>
      <c r="G24" s="288">
        <f>B24-F24</f>
        <v>100000</v>
      </c>
      <c r="H24" s="350">
        <f>C24-F24</f>
        <v>100000</v>
      </c>
      <c r="I24" s="261"/>
    </row>
    <row r="25" spans="1:9" ht="9.75" customHeight="1" x14ac:dyDescent="0.3">
      <c r="A25" s="267"/>
      <c r="B25" s="267"/>
      <c r="C25" s="267"/>
      <c r="D25" s="274"/>
      <c r="E25" s="244"/>
      <c r="F25" s="280"/>
      <c r="G25" s="290"/>
      <c r="H25" s="280"/>
      <c r="I25" s="267"/>
    </row>
    <row r="26" spans="1:9" x14ac:dyDescent="0.3">
      <c r="A26" s="260" t="s">
        <v>168</v>
      </c>
      <c r="B26" s="260">
        <f>SUM(B27:B33)</f>
        <v>0</v>
      </c>
      <c r="C26" s="260">
        <f t="shared" ref="C26:H26" si="5">SUM(C27:C33)</f>
        <v>2707360</v>
      </c>
      <c r="D26" s="272">
        <f t="shared" si="5"/>
        <v>0</v>
      </c>
      <c r="E26" s="247">
        <f t="shared" si="5"/>
        <v>0</v>
      </c>
      <c r="F26" s="278">
        <f t="shared" si="5"/>
        <v>0</v>
      </c>
      <c r="G26" s="289">
        <f t="shared" si="5"/>
        <v>0</v>
      </c>
      <c r="H26" s="278">
        <f t="shared" si="5"/>
        <v>2707360</v>
      </c>
      <c r="I26" s="260"/>
    </row>
    <row r="27" spans="1:9" ht="25.5" customHeight="1" x14ac:dyDescent="0.3">
      <c r="A27" s="261" t="s">
        <v>169</v>
      </c>
      <c r="B27" s="261">
        <f>'3 จัดสรรเพื่อบริหาร'!C29</f>
        <v>0</v>
      </c>
      <c r="C27" s="261">
        <f>'[1]2.รายละเอียดการใช้เงิน'!C27</f>
        <v>420000</v>
      </c>
      <c r="D27" s="273">
        <f>'3 จัดสรรเพื่อบริหาร'!D29</f>
        <v>0</v>
      </c>
      <c r="E27" s="243">
        <f>'3 จัดสรรเพื่อบริหาร'!E29</f>
        <v>0</v>
      </c>
      <c r="F27" s="279">
        <f>SUM(D27:E27)</f>
        <v>0</v>
      </c>
      <c r="G27" s="288">
        <f>B27-F27</f>
        <v>0</v>
      </c>
      <c r="H27" s="279">
        <f>C27-F27</f>
        <v>420000</v>
      </c>
      <c r="I27" s="261"/>
    </row>
    <row r="28" spans="1:9" ht="25.5" customHeight="1" x14ac:dyDescent="0.3">
      <c r="A28" s="261" t="s">
        <v>170</v>
      </c>
      <c r="B28" s="261">
        <f>'3 จัดสรรเพื่อบริหาร'!C30</f>
        <v>0</v>
      </c>
      <c r="C28" s="261">
        <f>'[1]2.รายละเอียดการใช้เงิน'!C28</f>
        <v>30000</v>
      </c>
      <c r="D28" s="273">
        <f>'3 จัดสรรเพื่อบริหาร'!D30</f>
        <v>0</v>
      </c>
      <c r="E28" s="243">
        <f>'3 จัดสรรเพื่อบริหาร'!E30</f>
        <v>0</v>
      </c>
      <c r="F28" s="279">
        <f t="shared" ref="F28:F33" si="6">SUM(D28:E28)</f>
        <v>0</v>
      </c>
      <c r="G28" s="288">
        <f t="shared" ref="G28:G33" si="7">B28-F28</f>
        <v>0</v>
      </c>
      <c r="H28" s="279">
        <f t="shared" ref="H28:H33" si="8">C28-F28</f>
        <v>30000</v>
      </c>
      <c r="I28" s="261"/>
    </row>
    <row r="29" spans="1:9" ht="25.5" customHeight="1" x14ac:dyDescent="0.3">
      <c r="A29" s="261" t="s">
        <v>171</v>
      </c>
      <c r="B29" s="261">
        <f>'3 จัดสรรเพื่อบริหาร'!C31</f>
        <v>0</v>
      </c>
      <c r="C29" s="261">
        <f>'[1]2.รายละเอียดการใช้เงิน'!C29</f>
        <v>96000</v>
      </c>
      <c r="D29" s="273">
        <f>'3 จัดสรรเพื่อบริหาร'!D31</f>
        <v>0</v>
      </c>
      <c r="E29" s="243">
        <f>'3 จัดสรรเพื่อบริหาร'!E31</f>
        <v>0</v>
      </c>
      <c r="F29" s="279">
        <f t="shared" si="6"/>
        <v>0</v>
      </c>
      <c r="G29" s="288">
        <f t="shared" si="7"/>
        <v>0</v>
      </c>
      <c r="H29" s="279">
        <f t="shared" si="8"/>
        <v>96000</v>
      </c>
      <c r="I29" s="261"/>
    </row>
    <row r="30" spans="1:9" ht="25.5" customHeight="1" x14ac:dyDescent="0.3">
      <c r="A30" s="261" t="s">
        <v>172</v>
      </c>
      <c r="B30" s="261">
        <f>'3 จัดสรรเพื่อบริหาร'!C32</f>
        <v>0</v>
      </c>
      <c r="C30" s="261">
        <f>'[1]2.รายละเอียดการใช้เงิน'!C30</f>
        <v>33000</v>
      </c>
      <c r="D30" s="273">
        <f>'3 จัดสรรเพื่อบริหาร'!D32</f>
        <v>0</v>
      </c>
      <c r="E30" s="243">
        <f>'3 จัดสรรเพื่อบริหาร'!E32</f>
        <v>0</v>
      </c>
      <c r="F30" s="279">
        <f t="shared" si="6"/>
        <v>0</v>
      </c>
      <c r="G30" s="288">
        <f t="shared" si="7"/>
        <v>0</v>
      </c>
      <c r="H30" s="279">
        <f t="shared" si="8"/>
        <v>33000</v>
      </c>
      <c r="I30" s="261"/>
    </row>
    <row r="31" spans="1:9" ht="25.5" customHeight="1" x14ac:dyDescent="0.3">
      <c r="A31" s="264" t="s">
        <v>193</v>
      </c>
      <c r="B31" s="261">
        <f>'3 จัดสรรเพื่อบริหาร'!C33</f>
        <v>0</v>
      </c>
      <c r="C31" s="261">
        <f>'[1]2.รายละเอียดการใช้เงิน'!C31</f>
        <v>1431660</v>
      </c>
      <c r="D31" s="273">
        <v>0</v>
      </c>
      <c r="E31" s="243">
        <f>'3 จัดสรรเพื่อบริหาร'!E33</f>
        <v>0</v>
      </c>
      <c r="F31" s="279">
        <f t="shared" si="6"/>
        <v>0</v>
      </c>
      <c r="G31" s="288">
        <f t="shared" si="7"/>
        <v>0</v>
      </c>
      <c r="H31" s="279">
        <f t="shared" si="8"/>
        <v>1431660</v>
      </c>
      <c r="I31" s="261"/>
    </row>
    <row r="32" spans="1:9" ht="25.5" customHeight="1" x14ac:dyDescent="0.3">
      <c r="A32" s="265" t="s">
        <v>194</v>
      </c>
      <c r="B32" s="261">
        <f>'3 จัดสรรเพื่อบริหาร'!C34</f>
        <v>0</v>
      </c>
      <c r="C32" s="261">
        <f>'[1]2.รายละเอียดการใช้เงิน'!C32</f>
        <v>671700</v>
      </c>
      <c r="D32" s="273">
        <v>0</v>
      </c>
      <c r="E32" s="243">
        <f>'3 จัดสรรเพื่อบริหาร'!E34</f>
        <v>0</v>
      </c>
      <c r="F32" s="279">
        <f t="shared" si="6"/>
        <v>0</v>
      </c>
      <c r="G32" s="288">
        <f t="shared" si="7"/>
        <v>0</v>
      </c>
      <c r="H32" s="279">
        <f t="shared" si="8"/>
        <v>671700</v>
      </c>
      <c r="I32" s="261"/>
    </row>
    <row r="33" spans="1:9" ht="25.5" customHeight="1" x14ac:dyDescent="0.3">
      <c r="A33" s="264" t="s">
        <v>175</v>
      </c>
      <c r="B33" s="261">
        <f>'3 จัดสรรเพื่อบริหาร'!C35</f>
        <v>0</v>
      </c>
      <c r="C33" s="261">
        <f>'[1]2.รายละเอียดการใช้เงิน'!C33</f>
        <v>25000</v>
      </c>
      <c r="D33" s="273">
        <f>'3 จัดสรรเพื่อบริหาร'!D35</f>
        <v>0</v>
      </c>
      <c r="E33" s="243">
        <f>'3 จัดสรรเพื่อบริหาร'!E35</f>
        <v>0</v>
      </c>
      <c r="F33" s="279">
        <f t="shared" si="6"/>
        <v>0</v>
      </c>
      <c r="G33" s="288">
        <f t="shared" si="7"/>
        <v>0</v>
      </c>
      <c r="H33" s="279">
        <f t="shared" si="8"/>
        <v>25000</v>
      </c>
      <c r="I33" s="261"/>
    </row>
    <row r="34" spans="1:9" ht="12.75" customHeight="1" x14ac:dyDescent="0.3">
      <c r="A34" s="267"/>
      <c r="B34" s="267"/>
      <c r="C34" s="267"/>
      <c r="D34" s="274"/>
      <c r="E34" s="244"/>
      <c r="F34" s="280"/>
      <c r="G34" s="290"/>
      <c r="H34" s="280"/>
      <c r="I34" s="267"/>
    </row>
    <row r="35" spans="1:9" x14ac:dyDescent="0.3">
      <c r="A35" s="260" t="s">
        <v>176</v>
      </c>
      <c r="B35" s="260">
        <f>SUM(B36:B41)</f>
        <v>10154800</v>
      </c>
      <c r="C35" s="260">
        <f t="shared" ref="C35:H35" si="9">SUM(C36:C41)</f>
        <v>1917676</v>
      </c>
      <c r="D35" s="272">
        <f t="shared" si="9"/>
        <v>0</v>
      </c>
      <c r="E35" s="247">
        <f t="shared" si="9"/>
        <v>996341</v>
      </c>
      <c r="F35" s="278">
        <f t="shared" si="9"/>
        <v>996341</v>
      </c>
      <c r="G35" s="289">
        <f t="shared" si="9"/>
        <v>9158459</v>
      </c>
      <c r="H35" s="278">
        <f t="shared" si="9"/>
        <v>921335</v>
      </c>
      <c r="I35" s="260"/>
    </row>
    <row r="36" spans="1:9" ht="25.5" customHeight="1" x14ac:dyDescent="0.3">
      <c r="A36" s="264" t="s">
        <v>177</v>
      </c>
      <c r="B36" s="261">
        <f>'3 จัดสรรเพื่อบริหาร'!C8</f>
        <v>8861800</v>
      </c>
      <c r="C36" s="261">
        <f>'[1]2.รายละเอียดการใช้เงิน'!C36</f>
        <v>984400</v>
      </c>
      <c r="D36" s="273">
        <v>0</v>
      </c>
      <c r="E36" s="243">
        <f>'3 จัดสรรเพื่อบริหาร'!E8</f>
        <v>974000</v>
      </c>
      <c r="F36" s="279">
        <f t="shared" ref="F36:F41" si="10">SUM(D36:E36)</f>
        <v>974000</v>
      </c>
      <c r="G36" s="288">
        <f t="shared" ref="G36:G41" si="11">B36-F36</f>
        <v>7887800</v>
      </c>
      <c r="H36" s="279">
        <f t="shared" ref="H36:H41" si="12">C36-F36</f>
        <v>10400</v>
      </c>
      <c r="I36" s="261"/>
    </row>
    <row r="37" spans="1:9" ht="25.5" customHeight="1" x14ac:dyDescent="0.3">
      <c r="A37" s="261" t="s">
        <v>178</v>
      </c>
      <c r="B37" s="261">
        <f>'3 จัดสรรเพื่อบริหาร'!C9</f>
        <v>15000</v>
      </c>
      <c r="C37" s="261">
        <f>'[1]2.รายละเอียดการใช้เงิน'!C37</f>
        <v>10500</v>
      </c>
      <c r="D37" s="273">
        <v>0</v>
      </c>
      <c r="E37" s="243">
        <f>'3 จัดสรรเพื่อบริหาร'!E9</f>
        <v>0</v>
      </c>
      <c r="F37" s="279">
        <f t="shared" si="10"/>
        <v>0</v>
      </c>
      <c r="G37" s="288">
        <f t="shared" si="11"/>
        <v>15000</v>
      </c>
      <c r="H37" s="279">
        <f t="shared" si="12"/>
        <v>10500</v>
      </c>
      <c r="I37" s="261"/>
    </row>
    <row r="38" spans="1:9" ht="25.5" customHeight="1" x14ac:dyDescent="0.3">
      <c r="A38" s="261" t="s">
        <v>179</v>
      </c>
      <c r="B38" s="261">
        <f>'3 จัดสรรเพื่อบริหาร'!C10</f>
        <v>1008000</v>
      </c>
      <c r="C38" s="261">
        <f>'[1]2.รายละเอียดการใช้เงิน'!C38</f>
        <v>639576</v>
      </c>
      <c r="D38" s="273">
        <f>'3 จัดสรรเพื่อบริหาร'!D10</f>
        <v>0</v>
      </c>
      <c r="E38" s="243">
        <f>'3 จัดสรรเพื่อบริหาร'!E10</f>
        <v>0</v>
      </c>
      <c r="F38" s="279">
        <f t="shared" si="10"/>
        <v>0</v>
      </c>
      <c r="G38" s="288">
        <f t="shared" si="11"/>
        <v>1008000</v>
      </c>
      <c r="H38" s="279">
        <f t="shared" si="12"/>
        <v>639576</v>
      </c>
      <c r="I38" s="261"/>
    </row>
    <row r="39" spans="1:9" ht="25.5" customHeight="1" x14ac:dyDescent="0.3">
      <c r="A39" s="261" t="s">
        <v>180</v>
      </c>
      <c r="B39" s="261">
        <f>'3 จัดสรรเพื่อบริหาร'!C11</f>
        <v>180000</v>
      </c>
      <c r="C39" s="261">
        <f>'[1]2.รายละเอียดการใช้เงิน'!C39</f>
        <v>222000</v>
      </c>
      <c r="D39" s="273">
        <f>'3 จัดสรรเพื่อบริหาร'!D11</f>
        <v>0</v>
      </c>
      <c r="E39" s="243">
        <f>'3 จัดสรรเพื่อบริหาร'!E11</f>
        <v>0</v>
      </c>
      <c r="F39" s="279">
        <f t="shared" si="10"/>
        <v>0</v>
      </c>
      <c r="G39" s="288">
        <f t="shared" si="11"/>
        <v>180000</v>
      </c>
      <c r="H39" s="279">
        <f t="shared" si="12"/>
        <v>222000</v>
      </c>
      <c r="I39" s="261"/>
    </row>
    <row r="40" spans="1:9" ht="25.5" customHeight="1" x14ac:dyDescent="0.3">
      <c r="A40" s="261" t="s">
        <v>181</v>
      </c>
      <c r="B40" s="261">
        <f>'3 จัดสรรเพื่อบริหาร'!C12</f>
        <v>90000</v>
      </c>
      <c r="C40" s="261">
        <f>'[1]2.รายละเอียดการใช้เงิน'!C40</f>
        <v>49800</v>
      </c>
      <c r="D40" s="273">
        <v>0</v>
      </c>
      <c r="E40" s="243">
        <f>'3 จัดสรรเพื่อบริหาร'!E12</f>
        <v>22341</v>
      </c>
      <c r="F40" s="279">
        <f t="shared" si="10"/>
        <v>22341</v>
      </c>
      <c r="G40" s="288">
        <f t="shared" si="11"/>
        <v>67659</v>
      </c>
      <c r="H40" s="279">
        <f t="shared" si="12"/>
        <v>27459</v>
      </c>
      <c r="I40" s="261"/>
    </row>
    <row r="41" spans="1:9" ht="25.5" customHeight="1" x14ac:dyDescent="0.3">
      <c r="A41" s="261" t="s">
        <v>182</v>
      </c>
      <c r="B41" s="261">
        <f>'3 จัดสรรเพื่อบริหาร'!C13</f>
        <v>0</v>
      </c>
      <c r="C41" s="261">
        <f>'[1]2.รายละเอียดการใช้เงิน'!C41</f>
        <v>11400</v>
      </c>
      <c r="D41" s="273">
        <v>0</v>
      </c>
      <c r="E41" s="243">
        <f>'3 จัดสรรเพื่อบริหาร'!E13</f>
        <v>0</v>
      </c>
      <c r="F41" s="279">
        <f t="shared" si="10"/>
        <v>0</v>
      </c>
      <c r="G41" s="288">
        <f t="shared" si="11"/>
        <v>0</v>
      </c>
      <c r="H41" s="279">
        <f t="shared" si="12"/>
        <v>11400</v>
      </c>
      <c r="I41" s="261"/>
    </row>
    <row r="42" spans="1:9" ht="13.5" customHeight="1" thickBot="1" x14ac:dyDescent="0.35">
      <c r="A42" s="268"/>
      <c r="B42" s="268"/>
      <c r="C42" s="268"/>
      <c r="D42" s="275"/>
      <c r="E42" s="282"/>
      <c r="F42" s="281"/>
      <c r="G42" s="291"/>
      <c r="H42" s="281"/>
      <c r="I42" s="268"/>
    </row>
    <row r="43" spans="1:9" x14ac:dyDescent="0.3">
      <c r="A43" s="329" t="s">
        <v>183</v>
      </c>
      <c r="B43" s="329">
        <f>SUM(B44:B49)</f>
        <v>4225840</v>
      </c>
      <c r="C43" s="329">
        <f t="shared" ref="C43:H43" si="13">SUM(C44:C49)</f>
        <v>3462900</v>
      </c>
      <c r="D43" s="330">
        <f t="shared" si="13"/>
        <v>0</v>
      </c>
      <c r="E43" s="331">
        <f t="shared" si="13"/>
        <v>602755</v>
      </c>
      <c r="F43" s="332">
        <f t="shared" si="13"/>
        <v>602755</v>
      </c>
      <c r="G43" s="333">
        <f t="shared" si="13"/>
        <v>3623085</v>
      </c>
      <c r="H43" s="332">
        <f t="shared" si="13"/>
        <v>2860145</v>
      </c>
      <c r="I43" s="329"/>
    </row>
    <row r="44" spans="1:9" x14ac:dyDescent="0.3">
      <c r="A44" s="264" t="s">
        <v>196</v>
      </c>
      <c r="B44" s="261">
        <f>'3 จัดสรรเพื่อบริหาร'!C15</f>
        <v>2370000</v>
      </c>
      <c r="C44" s="261">
        <f>'[1]2.รายละเอียดการใช้เงิน'!C44</f>
        <v>2684880</v>
      </c>
      <c r="D44" s="273">
        <v>0</v>
      </c>
      <c r="E44" s="243">
        <f>'3 จัดสรรเพื่อบริหาร'!E15</f>
        <v>398000</v>
      </c>
      <c r="F44" s="279">
        <f t="shared" ref="F44:F49" si="14">SUM(D44:E44)</f>
        <v>398000</v>
      </c>
      <c r="G44" s="288">
        <f t="shared" ref="G44:G49" si="15">B44-F44</f>
        <v>1972000</v>
      </c>
      <c r="H44" s="279">
        <f t="shared" ref="H44:H49" si="16">C44-F44</f>
        <v>2286880</v>
      </c>
      <c r="I44" s="261"/>
    </row>
    <row r="45" spans="1:9" x14ac:dyDescent="0.3">
      <c r="A45" s="261" t="s">
        <v>184</v>
      </c>
      <c r="B45" s="261">
        <f>'3 จัดสรรเพื่อบริหาร'!C16</f>
        <v>804240</v>
      </c>
      <c r="C45" s="261">
        <f>'[1]2.รายละเอียดการใช้เงิน'!C45</f>
        <v>472320</v>
      </c>
      <c r="D45" s="273">
        <v>0</v>
      </c>
      <c r="E45" s="243">
        <f>'3 จัดสรรเพื่อบริหาร'!E16</f>
        <v>111360</v>
      </c>
      <c r="F45" s="279">
        <f t="shared" si="14"/>
        <v>111360</v>
      </c>
      <c r="G45" s="288">
        <f t="shared" si="15"/>
        <v>692880</v>
      </c>
      <c r="H45" s="279">
        <f t="shared" si="16"/>
        <v>360960</v>
      </c>
      <c r="I45" s="266"/>
    </row>
    <row r="46" spans="1:9" x14ac:dyDescent="0.3">
      <c r="A46" s="264" t="s">
        <v>195</v>
      </c>
      <c r="B46" s="261">
        <f>'3 จัดสรรเพื่อบริหาร'!C17</f>
        <v>498000</v>
      </c>
      <c r="C46" s="261">
        <f>'[1]2.รายละเอียดการใช้เงิน'!C46</f>
        <v>223200</v>
      </c>
      <c r="D46" s="273">
        <v>0</v>
      </c>
      <c r="E46" s="243">
        <f>'3 จัดสรรเพื่อบริหาร'!E17</f>
        <v>83000</v>
      </c>
      <c r="F46" s="279">
        <f t="shared" si="14"/>
        <v>83000</v>
      </c>
      <c r="G46" s="288">
        <f t="shared" si="15"/>
        <v>415000</v>
      </c>
      <c r="H46" s="279">
        <f t="shared" si="16"/>
        <v>140200</v>
      </c>
      <c r="I46" s="261"/>
    </row>
    <row r="47" spans="1:9" x14ac:dyDescent="0.3">
      <c r="A47" s="261" t="s">
        <v>185</v>
      </c>
      <c r="B47" s="261">
        <f>'3 จัดสรรเพื่อบริหาร'!C21</f>
        <v>500</v>
      </c>
      <c r="C47" s="261">
        <f>'[1]2.รายละเอียดการใช้เงิน'!C47</f>
        <v>7500</v>
      </c>
      <c r="D47" s="273">
        <v>0</v>
      </c>
      <c r="E47" s="243">
        <f>'3 จัดสรรเพื่อบริหาร'!E21</f>
        <v>475</v>
      </c>
      <c r="F47" s="279">
        <f t="shared" si="14"/>
        <v>475</v>
      </c>
      <c r="G47" s="288">
        <f t="shared" si="15"/>
        <v>25</v>
      </c>
      <c r="H47" s="279">
        <f t="shared" si="16"/>
        <v>7025</v>
      </c>
      <c r="I47" s="261"/>
    </row>
    <row r="48" spans="1:9" x14ac:dyDescent="0.3">
      <c r="A48" s="261" t="s">
        <v>186</v>
      </c>
      <c r="B48" s="261">
        <f>'3 จัดสรรเพื่อบริหาร'!C22</f>
        <v>53100</v>
      </c>
      <c r="C48" s="261">
        <f>'[1]2.รายละเอียดการใช้เงิน'!C48</f>
        <v>70000</v>
      </c>
      <c r="D48" s="273">
        <v>0</v>
      </c>
      <c r="E48" s="243">
        <f>'3 จัดสรรเพื่อบริหาร'!E22</f>
        <v>9920</v>
      </c>
      <c r="F48" s="279">
        <f t="shared" si="14"/>
        <v>9920</v>
      </c>
      <c r="G48" s="288">
        <f t="shared" si="15"/>
        <v>43180</v>
      </c>
      <c r="H48" s="279">
        <f t="shared" si="16"/>
        <v>60080</v>
      </c>
      <c r="I48" s="261"/>
    </row>
    <row r="49" spans="1:9" x14ac:dyDescent="0.3">
      <c r="A49" s="261" t="s">
        <v>187</v>
      </c>
      <c r="B49" s="261">
        <f>'3 จัดสรรเพื่อบริหาร'!C23</f>
        <v>500000</v>
      </c>
      <c r="C49" s="261">
        <f>'[1]2.รายละเอียดการใช้เงิน'!C49</f>
        <v>5000</v>
      </c>
      <c r="D49" s="273">
        <v>0</v>
      </c>
      <c r="E49" s="243">
        <f>'3 จัดสรรเพื่อบริหาร'!E23</f>
        <v>0</v>
      </c>
      <c r="F49" s="279">
        <f t="shared" si="14"/>
        <v>0</v>
      </c>
      <c r="G49" s="288">
        <f t="shared" si="15"/>
        <v>500000</v>
      </c>
      <c r="H49" s="279">
        <f t="shared" si="16"/>
        <v>5000</v>
      </c>
      <c r="I49" s="261"/>
    </row>
    <row r="50" spans="1:9" ht="12.75" customHeight="1" x14ac:dyDescent="0.3">
      <c r="A50" s="261"/>
      <c r="B50" s="261"/>
      <c r="C50" s="261"/>
      <c r="D50" s="273"/>
      <c r="E50" s="243"/>
      <c r="F50" s="279"/>
      <c r="G50" s="288"/>
      <c r="H50" s="279"/>
      <c r="I50" s="261"/>
    </row>
    <row r="51" spans="1:9" x14ac:dyDescent="0.3">
      <c r="A51" s="334" t="s">
        <v>189</v>
      </c>
      <c r="B51" s="334">
        <f>SUM(B52:B61)</f>
        <v>1950060</v>
      </c>
      <c r="C51" s="334">
        <f t="shared" ref="C51:H51" si="17">SUM(C52:C61)</f>
        <v>1125550</v>
      </c>
      <c r="D51" s="335">
        <f t="shared" si="17"/>
        <v>0</v>
      </c>
      <c r="E51" s="336">
        <f t="shared" si="17"/>
        <v>2985.3</v>
      </c>
      <c r="F51" s="337">
        <f t="shared" si="17"/>
        <v>2985.3</v>
      </c>
      <c r="G51" s="338">
        <f t="shared" si="17"/>
        <v>1947074.7</v>
      </c>
      <c r="H51" s="337">
        <f t="shared" si="17"/>
        <v>1122564.7</v>
      </c>
      <c r="I51" s="334"/>
    </row>
    <row r="52" spans="1:9" x14ac:dyDescent="0.3">
      <c r="A52" s="261" t="s">
        <v>148</v>
      </c>
      <c r="B52" s="261">
        <f>[2]สรุป!$B$21</f>
        <v>80000</v>
      </c>
      <c r="C52" s="261">
        <f>'[1]2.รายละเอียดการใช้เงิน'!C52</f>
        <v>0</v>
      </c>
      <c r="D52" s="273">
        <f>'2 จัดสรรให้ส่วนฝ่าย'!D25</f>
        <v>0</v>
      </c>
      <c r="E52" s="243">
        <f>'2 จัดสรรให้ส่วนฝ่าย'!E25</f>
        <v>0</v>
      </c>
      <c r="F52" s="279">
        <f>SUM(D52:E52)</f>
        <v>0</v>
      </c>
      <c r="G52" s="288">
        <f>B52-F52</f>
        <v>80000</v>
      </c>
      <c r="H52" s="350">
        <f>C52-F52</f>
        <v>0</v>
      </c>
      <c r="I52" s="261"/>
    </row>
    <row r="53" spans="1:9" x14ac:dyDescent="0.3">
      <c r="A53" s="261" t="s">
        <v>149</v>
      </c>
      <c r="B53" s="261">
        <f>[2]สรุป!$C$21</f>
        <v>34000</v>
      </c>
      <c r="C53" s="261">
        <f>'[1]2.รายละเอียดการใช้เงิน'!C53</f>
        <v>17000</v>
      </c>
      <c r="D53" s="273">
        <f>'2 จัดสรรให้ส่วนฝ่าย'!J25</f>
        <v>0</v>
      </c>
      <c r="E53" s="243">
        <f>'2 จัดสรรให้ส่วนฝ่าย'!K25</f>
        <v>1861.8</v>
      </c>
      <c r="F53" s="279">
        <f t="shared" ref="F53:F61" si="18">SUM(D53:E53)</f>
        <v>1861.8</v>
      </c>
      <c r="G53" s="288">
        <f t="shared" ref="G53:G61" si="19">B53-F53</f>
        <v>32138.2</v>
      </c>
      <c r="H53" s="350">
        <f t="shared" ref="H53:H61" si="20">C53-F53</f>
        <v>15138.2</v>
      </c>
      <c r="I53" s="261"/>
    </row>
    <row r="54" spans="1:9" x14ac:dyDescent="0.3">
      <c r="A54" s="261" t="s">
        <v>150</v>
      </c>
      <c r="B54" s="261">
        <f>[2]สรุป!$D$21</f>
        <v>57000</v>
      </c>
      <c r="C54" s="261">
        <f>'[1]2.รายละเอียดการใช้เงิน'!C54</f>
        <v>30000</v>
      </c>
      <c r="D54" s="273">
        <f>'2 จัดสรรให้ส่วนฝ่าย'!D58</f>
        <v>0</v>
      </c>
      <c r="E54" s="243">
        <f>'2 จัดสรรให้ส่วนฝ่าย'!E58</f>
        <v>0</v>
      </c>
      <c r="F54" s="279">
        <f t="shared" si="18"/>
        <v>0</v>
      </c>
      <c r="G54" s="352">
        <f t="shared" si="19"/>
        <v>57000</v>
      </c>
      <c r="H54" s="350">
        <f t="shared" si="20"/>
        <v>30000</v>
      </c>
      <c r="I54" s="261"/>
    </row>
    <row r="55" spans="1:9" x14ac:dyDescent="0.3">
      <c r="A55" s="261" t="s">
        <v>151</v>
      </c>
      <c r="B55" s="261">
        <f>[2]สรุป!$E$21</f>
        <v>50000</v>
      </c>
      <c r="C55" s="261">
        <f>'[1]2.รายละเอียดการใช้เงิน'!C55</f>
        <v>30000</v>
      </c>
      <c r="D55" s="273">
        <f>'2 จัดสรรให้ส่วนฝ่าย'!J58</f>
        <v>0</v>
      </c>
      <c r="E55" s="243">
        <f>'2 จัดสรรให้ส่วนฝ่าย'!K58</f>
        <v>0</v>
      </c>
      <c r="F55" s="279">
        <f t="shared" si="18"/>
        <v>0</v>
      </c>
      <c r="G55" s="288">
        <f t="shared" si="19"/>
        <v>50000</v>
      </c>
      <c r="H55" s="279">
        <f t="shared" si="20"/>
        <v>30000</v>
      </c>
      <c r="I55" s="261"/>
    </row>
    <row r="56" spans="1:9" x14ac:dyDescent="0.3">
      <c r="A56" s="347" t="s">
        <v>235</v>
      </c>
      <c r="B56" s="261">
        <f>[2]สรุป!$F$20+[2]สรุป!$F$21</f>
        <v>534360</v>
      </c>
      <c r="C56" s="261">
        <f>'[1]2.รายละเอียดการใช้เงิน'!C56</f>
        <v>430700</v>
      </c>
      <c r="D56" s="273">
        <f>'2 จัดสรรให้ส่วนฝ่าย'!D88</f>
        <v>0</v>
      </c>
      <c r="E56" s="243">
        <f>'2 จัดสรรให้ส่วนฝ่าย'!E88</f>
        <v>0</v>
      </c>
      <c r="F56" s="279">
        <f t="shared" si="18"/>
        <v>0</v>
      </c>
      <c r="G56" s="288">
        <f t="shared" si="19"/>
        <v>534360</v>
      </c>
      <c r="H56" s="279">
        <f t="shared" si="20"/>
        <v>430700</v>
      </c>
      <c r="I56" s="261"/>
    </row>
    <row r="57" spans="1:9" x14ac:dyDescent="0.3">
      <c r="A57" s="261" t="s">
        <v>153</v>
      </c>
      <c r="B57" s="261">
        <f>[2]สรุป!$G$21</f>
        <v>280000</v>
      </c>
      <c r="C57" s="261">
        <f>'[1]2.รายละเอียดการใช้เงิน'!C57</f>
        <v>180000</v>
      </c>
      <c r="D57" s="273">
        <f>'2 จัดสรรให้ส่วนฝ่าย'!J88</f>
        <v>0</v>
      </c>
      <c r="E57" s="243">
        <f>'2 จัดสรรให้ส่วนฝ่าย'!K88</f>
        <v>0</v>
      </c>
      <c r="F57" s="279">
        <f t="shared" si="18"/>
        <v>0</v>
      </c>
      <c r="G57" s="288">
        <f t="shared" si="19"/>
        <v>280000</v>
      </c>
      <c r="H57" s="279">
        <f t="shared" si="20"/>
        <v>180000</v>
      </c>
      <c r="I57" s="261"/>
    </row>
    <row r="58" spans="1:9" x14ac:dyDescent="0.3">
      <c r="A58" s="261" t="s">
        <v>154</v>
      </c>
      <c r="B58" s="261">
        <f>[2]สรุป!$H$21</f>
        <v>150000</v>
      </c>
      <c r="C58" s="261">
        <f>'[1]2.รายละเอียดการใช้เงิน'!C58</f>
        <v>100000</v>
      </c>
      <c r="D58" s="273">
        <f>'2 จัดสรรให้ส่วนฝ่าย'!D118</f>
        <v>0</v>
      </c>
      <c r="E58" s="243">
        <f>'2 จัดสรรให้ส่วนฝ่าย'!E118</f>
        <v>0</v>
      </c>
      <c r="F58" s="279">
        <f t="shared" si="18"/>
        <v>0</v>
      </c>
      <c r="G58" s="288">
        <f t="shared" si="19"/>
        <v>150000</v>
      </c>
      <c r="H58" s="279">
        <f t="shared" si="20"/>
        <v>100000</v>
      </c>
      <c r="I58" s="261"/>
    </row>
    <row r="59" spans="1:9" x14ac:dyDescent="0.3">
      <c r="A59" s="261" t="s">
        <v>155</v>
      </c>
      <c r="B59" s="261">
        <f>[2]สรุป!$I$21</f>
        <v>225700</v>
      </c>
      <c r="C59" s="261">
        <f>'[1]2.รายละเอียดการใช้เงิน'!C59</f>
        <v>87850</v>
      </c>
      <c r="D59" s="273">
        <f>'2 จัดสรรให้ส่วนฝ่าย'!J118</f>
        <v>0</v>
      </c>
      <c r="E59" s="243">
        <f>'2 จัดสรรให้ส่วนฝ่าย'!K118</f>
        <v>0</v>
      </c>
      <c r="F59" s="279">
        <f t="shared" si="18"/>
        <v>0</v>
      </c>
      <c r="G59" s="288">
        <f t="shared" si="19"/>
        <v>225700</v>
      </c>
      <c r="H59" s="284">
        <f t="shared" si="20"/>
        <v>87850</v>
      </c>
      <c r="I59" s="261"/>
    </row>
    <row r="60" spans="1:9" x14ac:dyDescent="0.3">
      <c r="A60" s="261" t="s">
        <v>156</v>
      </c>
      <c r="B60" s="261">
        <f>[2]สรุป!$J$21</f>
        <v>239000</v>
      </c>
      <c r="C60" s="261">
        <f>'[1]2.รายละเอียดการใช้เงิน'!C60</f>
        <v>100000</v>
      </c>
      <c r="D60" s="273">
        <f>'2 จัดสรรให้ส่วนฝ่าย'!D148</f>
        <v>0</v>
      </c>
      <c r="E60" s="243">
        <f>'2 จัดสรรให้ส่วนฝ่าย'!E148</f>
        <v>0</v>
      </c>
      <c r="F60" s="279">
        <f t="shared" si="18"/>
        <v>0</v>
      </c>
      <c r="G60" s="288">
        <f t="shared" si="19"/>
        <v>239000</v>
      </c>
      <c r="H60" s="284">
        <f t="shared" si="20"/>
        <v>100000</v>
      </c>
      <c r="I60" s="261"/>
    </row>
    <row r="61" spans="1:9" x14ac:dyDescent="0.3">
      <c r="A61" s="261" t="s">
        <v>157</v>
      </c>
      <c r="B61" s="261">
        <f>[2]สรุป!$K$21</f>
        <v>300000</v>
      </c>
      <c r="C61" s="261">
        <f>'[1]2.รายละเอียดการใช้เงิน'!C61</f>
        <v>150000</v>
      </c>
      <c r="D61" s="273">
        <f>'2 จัดสรรให้ส่วนฝ่าย'!J148</f>
        <v>0</v>
      </c>
      <c r="E61" s="243">
        <f>'2 จัดสรรให้ส่วนฝ่าย'!K148</f>
        <v>1123.5</v>
      </c>
      <c r="F61" s="279">
        <f t="shared" si="18"/>
        <v>1123.5</v>
      </c>
      <c r="G61" s="288">
        <f t="shared" si="19"/>
        <v>298876.5</v>
      </c>
      <c r="H61" s="284">
        <f t="shared" si="20"/>
        <v>148876.5</v>
      </c>
      <c r="I61" s="261"/>
    </row>
    <row r="62" spans="1:9" ht="13.5" customHeight="1" x14ac:dyDescent="0.3">
      <c r="A62" s="267"/>
      <c r="B62" s="267"/>
      <c r="C62" s="267"/>
      <c r="D62" s="274"/>
      <c r="E62" s="244"/>
      <c r="F62" s="280"/>
      <c r="G62" s="290"/>
      <c r="H62" s="280"/>
      <c r="I62" s="267"/>
    </row>
    <row r="63" spans="1:9" s="248" customFormat="1" x14ac:dyDescent="0.3">
      <c r="A63" s="260" t="s">
        <v>190</v>
      </c>
      <c r="B63" s="260">
        <f>SUM(B64:B73)</f>
        <v>464787</v>
      </c>
      <c r="C63" s="260">
        <f t="shared" ref="C63:H63" si="21">SUM(C64:C73)</f>
        <v>180500</v>
      </c>
      <c r="D63" s="272">
        <f t="shared" si="21"/>
        <v>0</v>
      </c>
      <c r="E63" s="247">
        <f t="shared" si="21"/>
        <v>2380.8000000000002</v>
      </c>
      <c r="F63" s="278">
        <f t="shared" si="21"/>
        <v>2380.8000000000002</v>
      </c>
      <c r="G63" s="289">
        <f t="shared" si="21"/>
        <v>462406.2</v>
      </c>
      <c r="H63" s="351">
        <f t="shared" si="21"/>
        <v>178119.2</v>
      </c>
      <c r="I63" s="260"/>
    </row>
    <row r="64" spans="1:9" x14ac:dyDescent="0.3">
      <c r="A64" s="261" t="s">
        <v>148</v>
      </c>
      <c r="B64" s="261">
        <f>[2]สรุป!$B$19</f>
        <v>349047</v>
      </c>
      <c r="C64" s="261">
        <f>'[1]2.รายละเอียดการใช้เงิน'!C64</f>
        <v>100000</v>
      </c>
      <c r="D64" s="273">
        <f>'2 จัดสรรให้ส่วนฝ่าย'!D22</f>
        <v>0</v>
      </c>
      <c r="E64" s="243">
        <f>'2 จัดสรรให้ส่วนฝ่าย'!E22</f>
        <v>1540.8</v>
      </c>
      <c r="F64" s="279">
        <f t="shared" ref="F64:F73" si="22">SUM(D64:E64)</f>
        <v>1540.8</v>
      </c>
      <c r="G64" s="288">
        <f t="shared" ref="G64:G73" si="23">B64-F64</f>
        <v>347506.2</v>
      </c>
      <c r="H64" s="350">
        <f t="shared" ref="H64:H73" si="24">C64-F64</f>
        <v>98459.199999999997</v>
      </c>
      <c r="I64" s="261"/>
    </row>
    <row r="65" spans="1:9" x14ac:dyDescent="0.3">
      <c r="A65" s="261" t="s">
        <v>149</v>
      </c>
      <c r="B65" s="261">
        <f>[2]สรุป!$C$19</f>
        <v>43740</v>
      </c>
      <c r="C65" s="261">
        <f>'[1]2.รายละเอียดการใช้เงิน'!C65</f>
        <v>29500</v>
      </c>
      <c r="D65" s="273">
        <f>'2 จัดสรรให้ส่วนฝ่าย'!J22</f>
        <v>0</v>
      </c>
      <c r="E65" s="243">
        <f>'2 จัดสรรให้ส่วนฝ่าย'!K22</f>
        <v>0</v>
      </c>
      <c r="F65" s="279">
        <f t="shared" si="22"/>
        <v>0</v>
      </c>
      <c r="G65" s="288">
        <f t="shared" si="23"/>
        <v>43740</v>
      </c>
      <c r="H65" s="350">
        <f t="shared" si="24"/>
        <v>29500</v>
      </c>
      <c r="I65" s="261"/>
    </row>
    <row r="66" spans="1:9" x14ac:dyDescent="0.3">
      <c r="A66" s="261" t="s">
        <v>150</v>
      </c>
      <c r="B66" s="261">
        <f>[2]สรุป!$D$19</f>
        <v>0</v>
      </c>
      <c r="C66" s="261">
        <f>'[1]2.รายละเอียดการใช้เงิน'!C66</f>
        <v>0</v>
      </c>
      <c r="D66" s="273">
        <f>'2 จัดสรรให้ส่วนฝ่าย'!D55</f>
        <v>0</v>
      </c>
      <c r="E66" s="243">
        <f>'2 จัดสรรให้ส่วนฝ่าย'!E55</f>
        <v>0</v>
      </c>
      <c r="F66" s="279">
        <f t="shared" si="22"/>
        <v>0</v>
      </c>
      <c r="G66" s="287">
        <f t="shared" si="23"/>
        <v>0</v>
      </c>
      <c r="H66" s="350">
        <f t="shared" si="24"/>
        <v>0</v>
      </c>
      <c r="I66" s="261"/>
    </row>
    <row r="67" spans="1:9" x14ac:dyDescent="0.3">
      <c r="A67" s="261" t="s">
        <v>151</v>
      </c>
      <c r="B67" s="261">
        <f>[2]สรุป!$E$19</f>
        <v>35000</v>
      </c>
      <c r="C67" s="261">
        <f>'[1]2.รายละเอียดการใช้เงิน'!C67</f>
        <v>25000</v>
      </c>
      <c r="D67" s="273">
        <f>'2 จัดสรรให้ส่วนฝ่าย'!J55</f>
        <v>0</v>
      </c>
      <c r="E67" s="243">
        <f>'2 จัดสรรให้ส่วนฝ่าย'!K55</f>
        <v>840</v>
      </c>
      <c r="F67" s="279">
        <f t="shared" si="22"/>
        <v>840</v>
      </c>
      <c r="G67" s="288">
        <f t="shared" si="23"/>
        <v>34160</v>
      </c>
      <c r="H67" s="350">
        <f t="shared" si="24"/>
        <v>24160</v>
      </c>
      <c r="I67" s="261"/>
    </row>
    <row r="68" spans="1:9" x14ac:dyDescent="0.3">
      <c r="A68" s="261" t="s">
        <v>152</v>
      </c>
      <c r="B68" s="261">
        <f>[2]สรุป!$F$19</f>
        <v>10000</v>
      </c>
      <c r="C68" s="261">
        <f>'[1]2.รายละเอียดการใช้เงิน'!C68</f>
        <v>5000</v>
      </c>
      <c r="D68" s="273">
        <f>'2 จัดสรรให้ส่วนฝ่าย'!D85</f>
        <v>0</v>
      </c>
      <c r="E68" s="243">
        <f>'2 จัดสรรให้ส่วนฝ่าย'!E85</f>
        <v>0</v>
      </c>
      <c r="F68" s="279">
        <f t="shared" si="22"/>
        <v>0</v>
      </c>
      <c r="G68" s="288">
        <f t="shared" si="23"/>
        <v>10000</v>
      </c>
      <c r="H68" s="350">
        <f t="shared" si="24"/>
        <v>5000</v>
      </c>
      <c r="I68" s="261"/>
    </row>
    <row r="69" spans="1:9" x14ac:dyDescent="0.3">
      <c r="A69" s="261" t="s">
        <v>153</v>
      </c>
      <c r="B69" s="261">
        <f>[2]สรุป!$G$19</f>
        <v>0</v>
      </c>
      <c r="C69" s="261">
        <f>'[1]2.รายละเอียดการใช้เงิน'!C69</f>
        <v>0</v>
      </c>
      <c r="D69" s="273">
        <f>'2 จัดสรรให้ส่วนฝ่าย'!J85</f>
        <v>0</v>
      </c>
      <c r="E69" s="243">
        <f>'2 จัดสรรให้ส่วนฝ่าย'!K85</f>
        <v>0</v>
      </c>
      <c r="F69" s="279">
        <f t="shared" si="22"/>
        <v>0</v>
      </c>
      <c r="G69" s="288">
        <f t="shared" si="23"/>
        <v>0</v>
      </c>
      <c r="H69" s="279">
        <f t="shared" si="24"/>
        <v>0</v>
      </c>
      <c r="I69" s="261"/>
    </row>
    <row r="70" spans="1:9" x14ac:dyDescent="0.3">
      <c r="A70" s="261" t="s">
        <v>154</v>
      </c>
      <c r="B70" s="261">
        <f>[2]สรุป!$H$19</f>
        <v>15000</v>
      </c>
      <c r="C70" s="261">
        <f>'[1]2.รายละเอียดการใช้เงิน'!C70</f>
        <v>15000</v>
      </c>
      <c r="D70" s="273">
        <f>'2 จัดสรรให้ส่วนฝ่าย'!D115</f>
        <v>0</v>
      </c>
      <c r="E70" s="243">
        <f>'2 จัดสรรให้ส่วนฝ่าย'!E115</f>
        <v>0</v>
      </c>
      <c r="F70" s="279">
        <f t="shared" si="22"/>
        <v>0</v>
      </c>
      <c r="G70" s="288">
        <f t="shared" si="23"/>
        <v>15000</v>
      </c>
      <c r="H70" s="279">
        <f t="shared" si="24"/>
        <v>15000</v>
      </c>
      <c r="I70" s="261"/>
    </row>
    <row r="71" spans="1:9" x14ac:dyDescent="0.3">
      <c r="A71" s="261" t="s">
        <v>155</v>
      </c>
      <c r="B71" s="261">
        <f>[2]สรุป!$I$19</f>
        <v>0</v>
      </c>
      <c r="C71" s="261">
        <f>'[1]2.รายละเอียดการใช้เงิน'!C71</f>
        <v>0</v>
      </c>
      <c r="D71" s="273">
        <f>'2 จัดสรรให้ส่วนฝ่าย'!J115</f>
        <v>0</v>
      </c>
      <c r="E71" s="243">
        <f>'2 จัดสรรให้ส่วนฝ่าย'!K115</f>
        <v>0</v>
      </c>
      <c r="F71" s="279">
        <f t="shared" si="22"/>
        <v>0</v>
      </c>
      <c r="G71" s="288">
        <f t="shared" si="23"/>
        <v>0</v>
      </c>
      <c r="H71" s="279">
        <f t="shared" si="24"/>
        <v>0</v>
      </c>
      <c r="I71" s="261"/>
    </row>
    <row r="72" spans="1:9" x14ac:dyDescent="0.3">
      <c r="A72" s="261" t="s">
        <v>156</v>
      </c>
      <c r="B72" s="261">
        <f>[2]สรุป!$J$19</f>
        <v>12000</v>
      </c>
      <c r="C72" s="261">
        <f>'[1]2.รายละเอียดการใช้เงิน'!C72</f>
        <v>6000</v>
      </c>
      <c r="D72" s="273">
        <f>'2 จัดสรรให้ส่วนฝ่าย'!D145</f>
        <v>0</v>
      </c>
      <c r="E72" s="243">
        <f>'2 จัดสรรให้ส่วนฝ่าย'!E145</f>
        <v>0</v>
      </c>
      <c r="F72" s="279">
        <f>SUM(D72:E72)</f>
        <v>0</v>
      </c>
      <c r="G72" s="288">
        <f>B72-F72</f>
        <v>12000</v>
      </c>
      <c r="H72" s="279">
        <f>C72-F72</f>
        <v>6000</v>
      </c>
      <c r="I72" s="261"/>
    </row>
    <row r="73" spans="1:9" x14ac:dyDescent="0.3">
      <c r="A73" s="261" t="s">
        <v>157</v>
      </c>
      <c r="B73" s="261">
        <f>[2]สรุป!$K$19</f>
        <v>0</v>
      </c>
      <c r="C73" s="261">
        <f>'[1]2.รายละเอียดการใช้เงิน'!C73</f>
        <v>0</v>
      </c>
      <c r="D73" s="273">
        <f>'2 จัดสรรให้ส่วนฝ่าย'!J145</f>
        <v>0</v>
      </c>
      <c r="E73" s="243">
        <f>'2 จัดสรรให้ส่วนฝ่าย'!K145</f>
        <v>0</v>
      </c>
      <c r="F73" s="279">
        <f t="shared" si="22"/>
        <v>0</v>
      </c>
      <c r="G73" s="288">
        <f t="shared" si="23"/>
        <v>0</v>
      </c>
      <c r="H73" s="279">
        <f t="shared" si="24"/>
        <v>0</v>
      </c>
      <c r="I73" s="261"/>
    </row>
    <row r="74" spans="1:9" ht="10.5" customHeight="1" x14ac:dyDescent="0.3">
      <c r="A74" s="267"/>
      <c r="B74" s="267"/>
      <c r="C74" s="267"/>
      <c r="D74" s="274"/>
      <c r="E74" s="244"/>
      <c r="F74" s="280"/>
      <c r="G74" s="290"/>
      <c r="H74" s="280"/>
      <c r="I74" s="267"/>
    </row>
    <row r="75" spans="1:9" x14ac:dyDescent="0.3">
      <c r="A75" s="260" t="s">
        <v>191</v>
      </c>
      <c r="B75" s="260" t="e">
        <f t="shared" ref="B75:G75" si="25">SUM(B76:B80)</f>
        <v>#REF!</v>
      </c>
      <c r="C75" s="260" t="e">
        <f t="shared" si="25"/>
        <v>#REF!</v>
      </c>
      <c r="D75" s="272">
        <f t="shared" si="25"/>
        <v>0</v>
      </c>
      <c r="E75" s="247">
        <f t="shared" si="25"/>
        <v>0</v>
      </c>
      <c r="F75" s="278">
        <f t="shared" si="25"/>
        <v>0</v>
      </c>
      <c r="G75" s="289" t="e">
        <f t="shared" si="25"/>
        <v>#REF!</v>
      </c>
      <c r="H75" s="278" t="e">
        <f t="shared" ref="H75:H80" si="26">C75-F75</f>
        <v>#REF!</v>
      </c>
      <c r="I75" s="260"/>
    </row>
    <row r="76" spans="1:9" x14ac:dyDescent="0.3">
      <c r="A76" s="261" t="s">
        <v>158</v>
      </c>
      <c r="B76" s="261">
        <f>'4 สรุปตามการจัดสรร 2+3'!C32</f>
        <v>0</v>
      </c>
      <c r="C76" s="261">
        <f>B76</f>
        <v>0</v>
      </c>
      <c r="D76" s="273">
        <f>'7.ประมาณการและติดตามภาวะ'!F5</f>
        <v>0</v>
      </c>
      <c r="E76" s="243">
        <f>'7.ประมาณการและติดตามภาวะ'!G5</f>
        <v>0</v>
      </c>
      <c r="F76" s="279">
        <f>SUM(D76:E76)</f>
        <v>0</v>
      </c>
      <c r="G76" s="352">
        <f>B76-F76</f>
        <v>0</v>
      </c>
      <c r="H76" s="350">
        <f t="shared" si="26"/>
        <v>0</v>
      </c>
      <c r="I76" s="261"/>
    </row>
    <row r="77" spans="1:9" x14ac:dyDescent="0.3">
      <c r="A77" s="261" t="s">
        <v>150</v>
      </c>
      <c r="B77" s="261">
        <f>'4 สรุปตามการจัดสรร 2+3'!C33</f>
        <v>90000</v>
      </c>
      <c r="C77" s="261">
        <f>B77</f>
        <v>90000</v>
      </c>
      <c r="D77" s="273">
        <f>'7.ประมาณการและติดตามภาวะ'!C36</f>
        <v>0</v>
      </c>
      <c r="E77" s="243">
        <f>'7.ประมาณการและติดตามภาวะ'!D36</f>
        <v>0</v>
      </c>
      <c r="F77" s="279">
        <f>SUM(D77:E77)</f>
        <v>0</v>
      </c>
      <c r="G77" s="288">
        <f>B77-F77</f>
        <v>90000</v>
      </c>
      <c r="H77" s="284">
        <f t="shared" si="26"/>
        <v>90000</v>
      </c>
      <c r="I77" s="261"/>
    </row>
    <row r="78" spans="1:9" x14ac:dyDescent="0.3">
      <c r="A78" s="261" t="s">
        <v>151</v>
      </c>
      <c r="B78" s="261" t="e">
        <f>'4 สรุปตามการจัดสรร 2+3'!#REF!</f>
        <v>#REF!</v>
      </c>
      <c r="C78" s="261" t="e">
        <f>B78</f>
        <v>#REF!</v>
      </c>
      <c r="D78" s="273">
        <f>'7.ประมาณการและติดตามภาวะ'!F36</f>
        <v>0</v>
      </c>
      <c r="E78" s="243">
        <f>'7.ประมาณการและติดตามภาวะ'!G36</f>
        <v>0</v>
      </c>
      <c r="F78" s="279">
        <f>SUM(D78:E78)</f>
        <v>0</v>
      </c>
      <c r="G78" s="288" t="e">
        <f>B78-F78</f>
        <v>#REF!</v>
      </c>
      <c r="H78" s="284" t="e">
        <f t="shared" si="26"/>
        <v>#REF!</v>
      </c>
      <c r="I78" s="261"/>
    </row>
    <row r="79" spans="1:9" x14ac:dyDescent="0.3">
      <c r="A79" s="261" t="s">
        <v>152</v>
      </c>
      <c r="B79" s="261" t="e">
        <f>'4 สรุปตามการจัดสรร 2+3'!#REF!</f>
        <v>#REF!</v>
      </c>
      <c r="C79" s="261" t="e">
        <f>B79</f>
        <v>#REF!</v>
      </c>
      <c r="D79" s="273">
        <f>'7.ประมาณการและติดตามภาวะ'!C70</f>
        <v>0</v>
      </c>
      <c r="E79" s="243">
        <f>'7.ประมาณการและติดตามภาวะ'!D70</f>
        <v>0</v>
      </c>
      <c r="F79" s="279">
        <f>SUM(D79:E79)</f>
        <v>0</v>
      </c>
      <c r="G79" s="288" t="e">
        <f>B79-F79</f>
        <v>#REF!</v>
      </c>
      <c r="H79" s="284" t="e">
        <f t="shared" si="26"/>
        <v>#REF!</v>
      </c>
      <c r="I79" s="261"/>
    </row>
    <row r="80" spans="1:9" x14ac:dyDescent="0.3">
      <c r="A80" s="261" t="s">
        <v>154</v>
      </c>
      <c r="B80" s="261" t="e">
        <f>'4 สรุปตามการจัดสรร 2+3'!#REF!</f>
        <v>#REF!</v>
      </c>
      <c r="C80" s="261" t="e">
        <f>B80</f>
        <v>#REF!</v>
      </c>
      <c r="D80" s="273">
        <f>'7.ประมาณการและติดตามภาวะ'!C104</f>
        <v>0</v>
      </c>
      <c r="E80" s="243">
        <f>'7.ประมาณการและติดตามภาวะ'!D104</f>
        <v>0</v>
      </c>
      <c r="F80" s="279">
        <f>SUM(D80:E80)</f>
        <v>0</v>
      </c>
      <c r="G80" s="288" t="e">
        <f>B80-F80</f>
        <v>#REF!</v>
      </c>
      <c r="H80" s="284" t="e">
        <f t="shared" si="26"/>
        <v>#REF!</v>
      </c>
      <c r="I80" s="261"/>
    </row>
    <row r="81" spans="1:9" ht="9" customHeight="1" thickBot="1" x14ac:dyDescent="0.35">
      <c r="A81" s="268"/>
      <c r="B81" s="268"/>
      <c r="C81" s="268"/>
      <c r="D81" s="275"/>
      <c r="E81" s="282"/>
      <c r="F81" s="281"/>
      <c r="G81" s="291"/>
      <c r="H81" s="281"/>
      <c r="I81" s="268"/>
    </row>
  </sheetData>
  <mergeCells count="5">
    <mergeCell ref="D3:F3"/>
    <mergeCell ref="G3:H3"/>
    <mergeCell ref="H2:I2"/>
    <mergeCell ref="A3:A5"/>
    <mergeCell ref="I3:I5"/>
  </mergeCells>
  <pageMargins left="0.11811023622047245" right="0" top="0.55118110236220474" bottom="0.35433070866141736" header="0.31496062992125984" footer="0.31496062992125984"/>
  <pageSetup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>
      <selection activeCell="E2" sqref="E2:F2"/>
    </sheetView>
  </sheetViews>
  <sheetFormatPr defaultColWidth="9.140625" defaultRowHeight="21" x14ac:dyDescent="0.35"/>
  <cols>
    <col min="1" max="1" width="12" style="217" customWidth="1"/>
    <col min="2" max="2" width="18" style="217" customWidth="1"/>
    <col min="3" max="3" width="18.42578125" style="217" customWidth="1"/>
    <col min="4" max="4" width="17.140625" style="217" customWidth="1"/>
    <col min="5" max="5" width="19.7109375" style="217" customWidth="1"/>
    <col min="6" max="6" width="19" style="217" customWidth="1"/>
    <col min="7" max="16384" width="9.140625" style="217"/>
  </cols>
  <sheetData>
    <row r="1" spans="1:6" s="222" customFormat="1" x14ac:dyDescent="0.35">
      <c r="A1" s="222" t="s">
        <v>214</v>
      </c>
    </row>
    <row r="2" spans="1:6" s="222" customFormat="1" x14ac:dyDescent="0.35">
      <c r="E2" s="3109">
        <f>'2.รายละเอียดการใช้เงิน'!H2</f>
        <v>45653</v>
      </c>
      <c r="F2" s="3109"/>
    </row>
    <row r="3" spans="1:6" s="231" customFormat="1" x14ac:dyDescent="0.35">
      <c r="A3" s="3106" t="s">
        <v>167</v>
      </c>
      <c r="B3" s="233" t="s">
        <v>160</v>
      </c>
      <c r="C3" s="3106" t="s">
        <v>161</v>
      </c>
      <c r="D3" s="3106" t="s">
        <v>162</v>
      </c>
      <c r="E3" s="353" t="s">
        <v>163</v>
      </c>
      <c r="F3" s="3106" t="s">
        <v>16</v>
      </c>
    </row>
    <row r="4" spans="1:6" s="231" customFormat="1" x14ac:dyDescent="0.35">
      <c r="A4" s="3107"/>
      <c r="B4" s="234" t="s">
        <v>166</v>
      </c>
      <c r="C4" s="3107"/>
      <c r="D4" s="3107"/>
      <c r="E4" s="354" t="s">
        <v>237</v>
      </c>
      <c r="F4" s="3107"/>
    </row>
    <row r="5" spans="1:6" s="232" customFormat="1" x14ac:dyDescent="0.35">
      <c r="A5" s="3108"/>
      <c r="B5" s="238" t="s">
        <v>35</v>
      </c>
      <c r="C5" s="238" t="s">
        <v>36</v>
      </c>
      <c r="D5" s="238" t="s">
        <v>43</v>
      </c>
      <c r="E5" s="238" t="s">
        <v>164</v>
      </c>
      <c r="F5" s="238" t="s">
        <v>165</v>
      </c>
    </row>
    <row r="6" spans="1:6" x14ac:dyDescent="0.35">
      <c r="A6" s="251" t="s">
        <v>198</v>
      </c>
      <c r="B6" s="235"/>
      <c r="C6" s="235"/>
      <c r="D6" s="235"/>
      <c r="E6" s="235"/>
      <c r="F6" s="355">
        <f>B6-C6-D6-E6</f>
        <v>0</v>
      </c>
    </row>
    <row r="7" spans="1:6" x14ac:dyDescent="0.35">
      <c r="A7" s="251" t="s">
        <v>199</v>
      </c>
      <c r="B7" s="235"/>
      <c r="C7" s="235"/>
      <c r="D7" s="235"/>
      <c r="E7" s="235"/>
      <c r="F7" s="355">
        <f t="shared" ref="F7:F18" si="0">B7-C7-D7-E7</f>
        <v>0</v>
      </c>
    </row>
    <row r="8" spans="1:6" x14ac:dyDescent="0.35">
      <c r="A8" s="251" t="s">
        <v>200</v>
      </c>
      <c r="B8" s="235"/>
      <c r="C8" s="235"/>
      <c r="D8" s="235"/>
      <c r="E8" s="235"/>
      <c r="F8" s="355">
        <f t="shared" si="0"/>
        <v>0</v>
      </c>
    </row>
    <row r="9" spans="1:6" x14ac:dyDescent="0.35">
      <c r="A9" s="251" t="s">
        <v>201</v>
      </c>
      <c r="B9" s="235"/>
      <c r="C9" s="235"/>
      <c r="D9" s="235"/>
      <c r="E9" s="235"/>
      <c r="F9" s="355">
        <f t="shared" si="0"/>
        <v>0</v>
      </c>
    </row>
    <row r="10" spans="1:6" x14ac:dyDescent="0.35">
      <c r="A10" s="251" t="s">
        <v>202</v>
      </c>
      <c r="B10" s="235"/>
      <c r="C10" s="235"/>
      <c r="D10" s="235"/>
      <c r="E10" s="235"/>
      <c r="F10" s="355">
        <f t="shared" si="0"/>
        <v>0</v>
      </c>
    </row>
    <row r="11" spans="1:6" x14ac:dyDescent="0.35">
      <c r="A11" s="251" t="s">
        <v>203</v>
      </c>
      <c r="B11" s="235"/>
      <c r="C11" s="235"/>
      <c r="D11" s="235"/>
      <c r="E11" s="235"/>
      <c r="F11" s="355">
        <f t="shared" si="0"/>
        <v>0</v>
      </c>
    </row>
    <row r="12" spans="1:6" x14ac:dyDescent="0.35">
      <c r="A12" s="251" t="s">
        <v>204</v>
      </c>
      <c r="B12" s="235"/>
      <c r="C12" s="235"/>
      <c r="D12" s="235"/>
      <c r="E12" s="235"/>
      <c r="F12" s="355">
        <f t="shared" si="0"/>
        <v>0</v>
      </c>
    </row>
    <row r="13" spans="1:6" x14ac:dyDescent="0.35">
      <c r="A13" s="251" t="s">
        <v>205</v>
      </c>
      <c r="B13" s="235"/>
      <c r="C13" s="235"/>
      <c r="D13" s="235"/>
      <c r="E13" s="235"/>
      <c r="F13" s="355">
        <f t="shared" si="0"/>
        <v>0</v>
      </c>
    </row>
    <row r="14" spans="1:6" x14ac:dyDescent="0.35">
      <c r="A14" s="251" t="s">
        <v>206</v>
      </c>
      <c r="B14" s="235"/>
      <c r="C14" s="235"/>
      <c r="D14" s="235"/>
      <c r="E14" s="235"/>
      <c r="F14" s="355">
        <f t="shared" si="0"/>
        <v>0</v>
      </c>
    </row>
    <row r="15" spans="1:6" x14ac:dyDescent="0.35">
      <c r="A15" s="251" t="s">
        <v>207</v>
      </c>
      <c r="B15" s="235"/>
      <c r="C15" s="235"/>
      <c r="D15" s="235"/>
      <c r="E15" s="235"/>
      <c r="F15" s="355">
        <f t="shared" si="0"/>
        <v>0</v>
      </c>
    </row>
    <row r="16" spans="1:6" x14ac:dyDescent="0.35">
      <c r="A16" s="251" t="s">
        <v>208</v>
      </c>
      <c r="B16" s="235"/>
      <c r="C16" s="235"/>
      <c r="D16" s="235"/>
      <c r="E16" s="235"/>
      <c r="F16" s="355">
        <f t="shared" si="0"/>
        <v>0</v>
      </c>
    </row>
    <row r="17" spans="1:6" x14ac:dyDescent="0.35">
      <c r="A17" s="252" t="s">
        <v>209</v>
      </c>
      <c r="B17" s="239"/>
      <c r="C17" s="239"/>
      <c r="D17" s="239"/>
      <c r="E17" s="239"/>
      <c r="F17" s="356">
        <f t="shared" si="0"/>
        <v>0</v>
      </c>
    </row>
    <row r="18" spans="1:6" x14ac:dyDescent="0.35">
      <c r="A18" s="236" t="s">
        <v>28</v>
      </c>
      <c r="B18" s="237">
        <f>SUM(B6:B17)</f>
        <v>0</v>
      </c>
      <c r="C18" s="237">
        <f>SUM(C6:C17)</f>
        <v>0</v>
      </c>
      <c r="D18" s="237">
        <f>SUM(D6:D17)</f>
        <v>0</v>
      </c>
      <c r="E18" s="237">
        <f>SUM(E6:E17)</f>
        <v>0</v>
      </c>
      <c r="F18" s="357">
        <f t="shared" si="0"/>
        <v>0</v>
      </c>
    </row>
    <row r="19" spans="1:6" x14ac:dyDescent="0.35">
      <c r="C19" s="358">
        <f>SUM(C18:E18)</f>
        <v>0</v>
      </c>
    </row>
  </sheetData>
  <mergeCells count="5">
    <mergeCell ref="C3:C4"/>
    <mergeCell ref="D3:D4"/>
    <mergeCell ref="F3:F4"/>
    <mergeCell ref="A3:A5"/>
    <mergeCell ref="E2:F2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V55"/>
  <sheetViews>
    <sheetView topLeftCell="A2" workbookViewId="0">
      <pane ySplit="5" topLeftCell="A7" activePane="bottomLeft" state="frozen"/>
      <selection activeCell="A2" sqref="A2"/>
      <selection pane="bottomLeft" activeCell="C7" sqref="C7"/>
    </sheetView>
  </sheetViews>
  <sheetFormatPr defaultColWidth="8.85546875" defaultRowHeight="18.75" x14ac:dyDescent="0.3"/>
  <cols>
    <col min="1" max="1" width="25.42578125" style="366" customWidth="1"/>
    <col min="2" max="2" width="12.85546875" style="366" customWidth="1"/>
    <col min="3" max="3" width="12.5703125" style="366" customWidth="1"/>
    <col min="4" max="4" width="11.42578125" style="366" customWidth="1"/>
    <col min="5" max="5" width="10.140625" style="366" customWidth="1"/>
    <col min="6" max="6" width="11.28515625" style="385" customWidth="1"/>
    <col min="7" max="7" width="12.5703125" style="366" customWidth="1"/>
    <col min="8" max="8" width="12.42578125" style="366" customWidth="1"/>
    <col min="9" max="9" width="11.140625" style="366" customWidth="1"/>
    <col min="10" max="10" width="10.42578125" style="366" customWidth="1"/>
    <col min="11" max="11" width="10.85546875" style="366" customWidth="1"/>
    <col min="12" max="12" width="8.7109375" style="366" customWidth="1"/>
    <col min="13" max="13" width="8.5703125" style="366" customWidth="1"/>
    <col min="14" max="14" width="7.85546875" style="366" customWidth="1"/>
    <col min="15" max="15" width="14.5703125" style="595" bestFit="1" customWidth="1"/>
    <col min="16" max="16" width="8.85546875" style="595" customWidth="1"/>
    <col min="17" max="22" width="8.85546875" style="595"/>
    <col min="23" max="16384" width="8.85546875" style="366"/>
  </cols>
  <sheetData>
    <row r="1" spans="1:22" x14ac:dyDescent="0.3">
      <c r="A1" s="3110" t="s">
        <v>302</v>
      </c>
      <c r="B1" s="3110"/>
      <c r="C1" s="3110"/>
      <c r="D1" s="3110"/>
      <c r="E1" s="3110"/>
      <c r="F1" s="3110"/>
      <c r="G1" s="3110"/>
      <c r="H1" s="3110"/>
      <c r="I1" s="3110"/>
      <c r="J1" s="3110"/>
      <c r="K1" s="3110"/>
      <c r="L1" s="3110"/>
      <c r="M1" s="3110"/>
      <c r="N1" s="3110"/>
    </row>
    <row r="2" spans="1:22" ht="22.5" customHeight="1" thickBot="1" x14ac:dyDescent="0.35">
      <c r="A2" s="383"/>
      <c r="B2" s="383"/>
      <c r="C2" s="383"/>
      <c r="D2" s="384"/>
      <c r="E2" s="384"/>
      <c r="F2" s="384"/>
      <c r="G2" s="383"/>
      <c r="H2" s="383"/>
      <c r="I2" s="383"/>
      <c r="J2" s="383"/>
      <c r="K2" s="383"/>
      <c r="L2" s="831" t="s">
        <v>340</v>
      </c>
      <c r="M2" s="3111">
        <f ca="1">+TODAY()</f>
        <v>45660</v>
      </c>
      <c r="N2" s="3111"/>
    </row>
    <row r="3" spans="1:22" s="3" customFormat="1" ht="18" thickTop="1" x14ac:dyDescent="0.3">
      <c r="A3" s="858"/>
      <c r="B3" s="858" t="s">
        <v>29</v>
      </c>
      <c r="C3" s="859" t="s">
        <v>29</v>
      </c>
      <c r="D3" s="3112" t="s">
        <v>67</v>
      </c>
      <c r="E3" s="3113"/>
      <c r="F3" s="3113"/>
      <c r="G3" s="860" t="s">
        <v>16</v>
      </c>
      <c r="H3" s="3114" t="s">
        <v>58</v>
      </c>
      <c r="I3" s="3115"/>
      <c r="J3" s="3115"/>
      <c r="K3" s="3115"/>
      <c r="L3" s="3115"/>
      <c r="M3" s="3115"/>
      <c r="N3" s="3116"/>
      <c r="O3" s="594"/>
      <c r="P3" s="594"/>
      <c r="Q3" s="594"/>
      <c r="R3" s="594"/>
      <c r="S3" s="594"/>
      <c r="T3" s="594"/>
      <c r="U3" s="594"/>
      <c r="V3" s="594"/>
    </row>
    <row r="4" spans="1:22" s="17" customFormat="1" ht="17.25" x14ac:dyDescent="0.3">
      <c r="A4" s="861" t="s">
        <v>0</v>
      </c>
      <c r="B4" s="861">
        <v>2564</v>
      </c>
      <c r="C4" s="862" t="s">
        <v>345</v>
      </c>
      <c r="D4" s="3120" t="s">
        <v>348</v>
      </c>
      <c r="E4" s="3120" t="s">
        <v>349</v>
      </c>
      <c r="F4" s="3117" t="s">
        <v>28</v>
      </c>
      <c r="G4" s="863" t="s">
        <v>29</v>
      </c>
      <c r="H4" s="864" t="s">
        <v>64</v>
      </c>
      <c r="I4" s="858" t="s">
        <v>16</v>
      </c>
      <c r="J4" s="865" t="s">
        <v>34</v>
      </c>
      <c r="K4" s="861" t="s">
        <v>62</v>
      </c>
      <c r="L4" s="861" t="s">
        <v>71</v>
      </c>
      <c r="M4" s="861" t="s">
        <v>71</v>
      </c>
      <c r="N4" s="866" t="s">
        <v>73</v>
      </c>
      <c r="O4" s="867"/>
      <c r="P4" s="868"/>
      <c r="Q4" s="868"/>
      <c r="R4" s="868"/>
      <c r="S4" s="868"/>
      <c r="T4" s="868"/>
      <c r="U4" s="868"/>
      <c r="V4" s="868"/>
    </row>
    <row r="5" spans="1:22" s="17" customFormat="1" ht="24.75" customHeight="1" x14ac:dyDescent="0.3">
      <c r="A5" s="869"/>
      <c r="B5" s="861" t="s">
        <v>346</v>
      </c>
      <c r="C5" s="862" t="s">
        <v>347</v>
      </c>
      <c r="D5" s="3121"/>
      <c r="E5" s="3121"/>
      <c r="F5" s="3118"/>
      <c r="G5" s="870"/>
      <c r="H5" s="871"/>
      <c r="I5" s="861"/>
      <c r="J5" s="865"/>
      <c r="K5" s="861"/>
      <c r="L5" s="861" t="s">
        <v>58</v>
      </c>
      <c r="M5" s="861" t="s">
        <v>72</v>
      </c>
      <c r="N5" s="866" t="s">
        <v>62</v>
      </c>
      <c r="O5" s="868"/>
      <c r="P5" s="868"/>
      <c r="Q5" s="868"/>
      <c r="R5" s="868"/>
      <c r="S5" s="868"/>
      <c r="T5" s="868"/>
      <c r="U5" s="868"/>
      <c r="V5" s="868"/>
    </row>
    <row r="6" spans="1:22" s="17" customFormat="1" ht="17.25" x14ac:dyDescent="0.3">
      <c r="A6" s="872"/>
      <c r="B6" s="873"/>
      <c r="C6" s="874"/>
      <c r="D6" s="3122"/>
      <c r="E6" s="3122"/>
      <c r="F6" s="3119"/>
      <c r="G6" s="875"/>
      <c r="H6" s="876"/>
      <c r="I6" s="873"/>
      <c r="J6" s="877"/>
      <c r="K6" s="873"/>
      <c r="L6" s="873"/>
      <c r="M6" s="873"/>
      <c r="N6" s="878"/>
      <c r="O6" s="868"/>
      <c r="P6" s="868"/>
      <c r="Q6" s="868"/>
      <c r="R6" s="868"/>
      <c r="S6" s="868"/>
      <c r="T6" s="868"/>
      <c r="U6" s="868"/>
      <c r="V6" s="868"/>
    </row>
    <row r="7" spans="1:22" s="598" customFormat="1" x14ac:dyDescent="0.3">
      <c r="A7" s="15" t="s">
        <v>65</v>
      </c>
      <c r="B7" s="388">
        <f>30095250+2000000+600000</f>
        <v>32695250</v>
      </c>
      <c r="C7" s="388">
        <f>+(30095250*50%)+2000000+600000+7523825</f>
        <v>25171450</v>
      </c>
      <c r="D7" s="389">
        <v>6315942</v>
      </c>
      <c r="E7" s="390">
        <v>0</v>
      </c>
      <c r="F7" s="391">
        <f>SUM(D7:E7)</f>
        <v>6315942</v>
      </c>
      <c r="G7" s="392">
        <f t="shared" ref="G7:G23" si="0">C7-F7</f>
        <v>18855508</v>
      </c>
      <c r="H7" s="480" t="e">
        <f t="shared" ref="H7:H12" si="1">SUM(J7:K7)</f>
        <v>#REF!</v>
      </c>
      <c r="I7" s="488" t="e">
        <f>G7-H7</f>
        <v>#REF!</v>
      </c>
      <c r="J7" s="484" t="e">
        <f>'4 สรุปตามการจัดสรร 2+3'!E15+'4 สรุปตามการจัดสรร 2+3'!#REF!+'4 สรุปตามการจัดสรร 2+3'!E27+'4 สรุปตามการจัดสรร 2+3'!E29-J9-J10-J11-J12</f>
        <v>#REF!</v>
      </c>
      <c r="K7" s="388" t="e">
        <f>'4 สรุปตามการจัดสรร 2+3'!F15+'4 สรุปตามการจัดสรร 2+3'!#REF!+'4 สรุปตามการจัดสรร 2+3'!F27+'4 สรุปตามการจัดสรร 2+3'!F29+-K9-K10-K11-K12</f>
        <v>#REF!</v>
      </c>
      <c r="L7" s="393" t="e">
        <f t="shared" ref="L7:L25" si="2">H7*100/G7</f>
        <v>#REF!</v>
      </c>
      <c r="M7" s="393" t="e">
        <f>J7*100/G7</f>
        <v>#REF!</v>
      </c>
      <c r="N7" s="394" t="e">
        <f>K7*100/G7</f>
        <v>#REF!</v>
      </c>
      <c r="O7" s="552" t="e">
        <f>G7-H7</f>
        <v>#REF!</v>
      </c>
      <c r="P7" s="595"/>
      <c r="Q7" s="595"/>
      <c r="R7" s="595"/>
      <c r="S7" s="595"/>
      <c r="T7" s="595"/>
      <c r="U7" s="595"/>
      <c r="V7" s="595"/>
    </row>
    <row r="8" spans="1:22" s="595" customFormat="1" x14ac:dyDescent="0.3">
      <c r="A8" s="15" t="s">
        <v>253</v>
      </c>
      <c r="B8" s="388">
        <f>SUM(B9:B12)</f>
        <v>13952000</v>
      </c>
      <c r="C8" s="388">
        <f>SUM(C9:C12)</f>
        <v>10463900</v>
      </c>
      <c r="D8" s="388">
        <f>SUM(D9:D12)</f>
        <v>8536544</v>
      </c>
      <c r="E8" s="388">
        <f>SUM(E9:E11)</f>
        <v>0</v>
      </c>
      <c r="F8" s="396">
        <f>SUM(D8:E8)</f>
        <v>8536544</v>
      </c>
      <c r="G8" s="397">
        <f t="shared" si="0"/>
        <v>1927356</v>
      </c>
      <c r="H8" s="553">
        <f>SUM(J8:K8)</f>
        <v>851521.3</v>
      </c>
      <c r="I8" s="489">
        <f>G8-H8</f>
        <v>1075834.7</v>
      </c>
      <c r="J8" s="484">
        <f>SUM(J9:J12)</f>
        <v>285498</v>
      </c>
      <c r="K8" s="388">
        <f>SUM(K9:K12)</f>
        <v>566023.30000000005</v>
      </c>
      <c r="L8" s="393">
        <f t="shared" si="2"/>
        <v>44.180800018263362</v>
      </c>
      <c r="M8" s="393">
        <f t="shared" ref="M8:M25" si="3">J8*100/G8</f>
        <v>14.812935441091319</v>
      </c>
      <c r="N8" s="394">
        <f>K8*100/G8</f>
        <v>29.367864577172046</v>
      </c>
      <c r="O8" s="596">
        <f>G8-H8</f>
        <v>1075834.7</v>
      </c>
    </row>
    <row r="9" spans="1:22" s="598" customFormat="1" x14ac:dyDescent="0.3">
      <c r="A9" s="494" t="s">
        <v>266</v>
      </c>
      <c r="B9" s="371">
        <v>5000000</v>
      </c>
      <c r="C9" s="371">
        <f>+(5000000*75%)</f>
        <v>3750000</v>
      </c>
      <c r="D9" s="371">
        <f>2049600+1418892</f>
        <v>3468492</v>
      </c>
      <c r="E9" s="399">
        <v>0</v>
      </c>
      <c r="F9" s="396">
        <f t="shared" ref="F9:F17" si="4">SUM(D9:E9)</f>
        <v>3468492</v>
      </c>
      <c r="G9" s="397">
        <f t="shared" si="0"/>
        <v>281508</v>
      </c>
      <c r="H9" s="554">
        <f t="shared" si="1"/>
        <v>193643.3</v>
      </c>
      <c r="I9" s="490">
        <f>G9-H9</f>
        <v>87864.700000000012</v>
      </c>
      <c r="J9" s="485">
        <f>'4.ต้นทุน'!K5</f>
        <v>47980</v>
      </c>
      <c r="K9" s="400">
        <f>'4.ต้นทุน'!L5</f>
        <v>145663.29999999999</v>
      </c>
      <c r="L9" s="393">
        <f t="shared" si="2"/>
        <v>68.787849723631297</v>
      </c>
      <c r="M9" s="393">
        <f t="shared" si="3"/>
        <v>17.043920599059351</v>
      </c>
      <c r="N9" s="394">
        <f t="shared" ref="N9:N25" si="5">K9*100/G9</f>
        <v>51.743929124571942</v>
      </c>
      <c r="O9" s="596">
        <f>G9-H9</f>
        <v>87864.700000000012</v>
      </c>
      <c r="P9" s="595"/>
      <c r="Q9" s="595"/>
      <c r="R9" s="595"/>
      <c r="S9" s="595"/>
      <c r="T9" s="595"/>
      <c r="U9" s="595"/>
      <c r="V9" s="595"/>
    </row>
    <row r="10" spans="1:22" s="598" customFormat="1" x14ac:dyDescent="0.3">
      <c r="A10" s="494" t="s">
        <v>267</v>
      </c>
      <c r="B10" s="371">
        <v>2789300</v>
      </c>
      <c r="C10" s="371">
        <f>1200000+891900</f>
        <v>2091900</v>
      </c>
      <c r="D10" s="371">
        <f>940230+710045</f>
        <v>1650275</v>
      </c>
      <c r="E10" s="399"/>
      <c r="F10" s="396">
        <f>SUM(D10:E10)</f>
        <v>1650275</v>
      </c>
      <c r="G10" s="397">
        <f t="shared" si="0"/>
        <v>441625</v>
      </c>
      <c r="H10" s="554">
        <f t="shared" si="1"/>
        <v>315892</v>
      </c>
      <c r="I10" s="490">
        <f>G10-H10</f>
        <v>125733</v>
      </c>
      <c r="J10" s="485">
        <f>'7.ประมาณการและติดตามภาวะ'!K5</f>
        <v>206918</v>
      </c>
      <c r="K10" s="400">
        <f>'7.ประมาณการและติดตามภาวะ'!L5</f>
        <v>108974</v>
      </c>
      <c r="L10" s="393">
        <f t="shared" si="2"/>
        <v>71.529465043872065</v>
      </c>
      <c r="M10" s="393">
        <f t="shared" si="3"/>
        <v>46.853778658364</v>
      </c>
      <c r="N10" s="394">
        <f t="shared" si="5"/>
        <v>24.675686385508065</v>
      </c>
      <c r="O10" s="596">
        <f>G10-H10</f>
        <v>125733</v>
      </c>
      <c r="P10" s="595"/>
      <c r="Q10" s="595"/>
      <c r="R10" s="595"/>
      <c r="S10" s="595"/>
      <c r="T10" s="595"/>
      <c r="U10" s="595"/>
      <c r="V10" s="595"/>
    </row>
    <row r="11" spans="1:22" s="598" customFormat="1" x14ac:dyDescent="0.3">
      <c r="A11" s="494" t="s">
        <v>268</v>
      </c>
      <c r="B11" s="371">
        <v>4617600</v>
      </c>
      <c r="C11" s="371">
        <f>2505700+957500</f>
        <v>3463200</v>
      </c>
      <c r="D11" s="371">
        <f>1624000+1195607-74240</f>
        <v>2745367</v>
      </c>
      <c r="E11" s="399"/>
      <c r="F11" s="396">
        <f>SUM(D11:E11)</f>
        <v>2745367</v>
      </c>
      <c r="G11" s="397">
        <f t="shared" si="0"/>
        <v>717833</v>
      </c>
      <c r="H11" s="554">
        <f t="shared" si="1"/>
        <v>0</v>
      </c>
      <c r="I11" s="490">
        <f>(G11-H11)</f>
        <v>717833</v>
      </c>
      <c r="J11" s="485">
        <f>'8.รายงานสถานการณ์โดย ศกอ.'!K5</f>
        <v>0</v>
      </c>
      <c r="K11" s="400">
        <f>'8.รายงานสถานการณ์โดย ศกอ.'!L5</f>
        <v>0</v>
      </c>
      <c r="L11" s="393">
        <f t="shared" si="2"/>
        <v>0</v>
      </c>
      <c r="M11" s="393">
        <f>J11*100/G11</f>
        <v>0</v>
      </c>
      <c r="N11" s="394">
        <f t="shared" si="5"/>
        <v>0</v>
      </c>
      <c r="O11" s="597">
        <v>143000</v>
      </c>
      <c r="P11" s="595" t="s">
        <v>281</v>
      </c>
      <c r="Q11" s="595"/>
      <c r="R11" s="595"/>
      <c r="S11" s="595"/>
      <c r="T11" s="595"/>
      <c r="U11" s="595"/>
      <c r="V11" s="595"/>
    </row>
    <row r="12" spans="1:22" x14ac:dyDescent="0.3">
      <c r="A12" s="494" t="s">
        <v>287</v>
      </c>
      <c r="B12" s="371">
        <v>1545100</v>
      </c>
      <c r="C12" s="371">
        <f>772500+386300</f>
        <v>1158800</v>
      </c>
      <c r="D12" s="371">
        <v>672410</v>
      </c>
      <c r="E12" s="399"/>
      <c r="F12" s="396">
        <f>SUM(D12:E12)</f>
        <v>672410</v>
      </c>
      <c r="G12" s="397">
        <f t="shared" si="0"/>
        <v>486390</v>
      </c>
      <c r="H12" s="554">
        <f t="shared" si="1"/>
        <v>341986</v>
      </c>
      <c r="I12" s="490">
        <f>(G12-H12)</f>
        <v>144404</v>
      </c>
      <c r="J12" s="485">
        <f>'5.Crop Cutiing'!K5</f>
        <v>30600</v>
      </c>
      <c r="K12" s="400">
        <f>+'5.Crop Cutiing'!L5</f>
        <v>311386</v>
      </c>
      <c r="L12" s="393">
        <f>H12*100/G12</f>
        <v>70.311067250560257</v>
      </c>
      <c r="M12" s="393">
        <f>J12*100/G12</f>
        <v>6.2912477641398876</v>
      </c>
      <c r="N12" s="394">
        <f>K12*100/G12</f>
        <v>64.01981948642036</v>
      </c>
      <c r="O12" s="667">
        <v>143000</v>
      </c>
      <c r="P12" s="366" t="s">
        <v>281</v>
      </c>
      <c r="Q12" s="366"/>
      <c r="R12" s="366"/>
      <c r="S12" s="366"/>
      <c r="T12" s="366"/>
      <c r="U12" s="366"/>
      <c r="V12" s="366"/>
    </row>
    <row r="13" spans="1:22" s="454" customFormat="1" x14ac:dyDescent="0.3">
      <c r="A13" s="495" t="s">
        <v>254</v>
      </c>
      <c r="B13" s="455">
        <f>SUM(B14:B20)</f>
        <v>13689900</v>
      </c>
      <c r="C13" s="856">
        <f>SUM(C14:C20)</f>
        <v>9169700</v>
      </c>
      <c r="D13" s="455">
        <f>SUM(D14:D20)</f>
        <v>8457177</v>
      </c>
      <c r="E13" s="455">
        <f>SUM(E14:E19)</f>
        <v>291000</v>
      </c>
      <c r="F13" s="456">
        <f>SUM(D13:E13)</f>
        <v>8748177</v>
      </c>
      <c r="G13" s="457">
        <f t="shared" si="0"/>
        <v>421523</v>
      </c>
      <c r="H13" s="481">
        <f>J13+K13</f>
        <v>385</v>
      </c>
      <c r="I13" s="455">
        <f>G13-H13</f>
        <v>421138</v>
      </c>
      <c r="J13" s="486">
        <f>SUM(J14:J19)</f>
        <v>0</v>
      </c>
      <c r="K13" s="458">
        <f>SUM(K14:K19)</f>
        <v>385</v>
      </c>
      <c r="L13" s="459">
        <f t="shared" si="2"/>
        <v>9.1335466866576676E-2</v>
      </c>
      <c r="M13" s="459">
        <f>J13*100/G13</f>
        <v>0</v>
      </c>
      <c r="N13" s="460">
        <f>K13*100/G13</f>
        <v>9.1335466866576676E-2</v>
      </c>
      <c r="O13" s="552">
        <f t="shared" ref="O13:O28" si="6">G13-H13</f>
        <v>421138</v>
      </c>
      <c r="P13" s="600"/>
      <c r="Q13" s="600"/>
      <c r="R13" s="600"/>
      <c r="S13" s="600"/>
      <c r="T13" s="600"/>
      <c r="U13" s="600"/>
      <c r="V13" s="600"/>
    </row>
    <row r="14" spans="1:22" s="598" customFormat="1" x14ac:dyDescent="0.3">
      <c r="A14" s="496" t="s">
        <v>269</v>
      </c>
      <c r="B14" s="435">
        <v>9750000</v>
      </c>
      <c r="C14" s="778">
        <f>2788200+3230900</f>
        <v>6019100</v>
      </c>
      <c r="D14" s="435">
        <f>2776592+3241900-250000-41000+608</f>
        <v>5728100</v>
      </c>
      <c r="E14" s="436">
        <f>250000+41000</f>
        <v>291000</v>
      </c>
      <c r="F14" s="437">
        <f>SUM(D14:E14)</f>
        <v>6019100</v>
      </c>
      <c r="G14" s="438">
        <f t="shared" si="0"/>
        <v>0</v>
      </c>
      <c r="H14" s="482">
        <f t="shared" ref="H14:H19" si="7">SUM(J14:K14)</f>
        <v>0</v>
      </c>
      <c r="I14" s="490">
        <f>G14-H14</f>
        <v>0</v>
      </c>
      <c r="J14" s="442">
        <f>'14.พัฒนา ศกอ.'!K5</f>
        <v>0</v>
      </c>
      <c r="K14" s="442">
        <f>'14.พัฒนา ศกอ.'!L5</f>
        <v>0</v>
      </c>
      <c r="L14" s="440" t="e">
        <f t="shared" si="2"/>
        <v>#DIV/0!</v>
      </c>
      <c r="M14" s="440" t="e">
        <f t="shared" si="3"/>
        <v>#DIV/0!</v>
      </c>
      <c r="N14" s="441" t="e">
        <f t="shared" si="5"/>
        <v>#DIV/0!</v>
      </c>
      <c r="O14" s="596">
        <f t="shared" si="6"/>
        <v>0</v>
      </c>
      <c r="P14" s="595"/>
      <c r="Q14" s="595"/>
      <c r="R14" s="595"/>
      <c r="S14" s="595"/>
      <c r="T14" s="595"/>
      <c r="U14" s="595"/>
      <c r="V14" s="595"/>
    </row>
    <row r="15" spans="1:22" x14ac:dyDescent="0.3">
      <c r="A15" s="496" t="s">
        <v>270</v>
      </c>
      <c r="B15" s="435">
        <v>0</v>
      </c>
      <c r="C15" s="778">
        <v>0</v>
      </c>
      <c r="D15" s="435">
        <v>0</v>
      </c>
      <c r="E15" s="436">
        <v>0</v>
      </c>
      <c r="F15" s="437">
        <f t="shared" si="4"/>
        <v>0</v>
      </c>
      <c r="G15" s="438">
        <f t="shared" si="0"/>
        <v>0</v>
      </c>
      <c r="H15" s="482">
        <f t="shared" si="7"/>
        <v>0</v>
      </c>
      <c r="I15" s="490">
        <f>G15-H15</f>
        <v>0</v>
      </c>
      <c r="J15" s="442">
        <f>ประชุมระหว่างประเทศ!C5</f>
        <v>0</v>
      </c>
      <c r="K15" s="439">
        <f>ประชุมระหว่างประเทศ!D5</f>
        <v>0</v>
      </c>
      <c r="L15" s="440" t="e">
        <f t="shared" si="2"/>
        <v>#DIV/0!</v>
      </c>
      <c r="M15" s="440" t="e">
        <f t="shared" si="3"/>
        <v>#DIV/0!</v>
      </c>
      <c r="N15" s="441" t="e">
        <f t="shared" si="5"/>
        <v>#DIV/0!</v>
      </c>
      <c r="O15" s="596">
        <f t="shared" si="6"/>
        <v>0</v>
      </c>
    </row>
    <row r="16" spans="1:22" x14ac:dyDescent="0.3">
      <c r="A16" s="496" t="s">
        <v>271</v>
      </c>
      <c r="B16" s="435"/>
      <c r="C16" s="778"/>
      <c r="D16" s="435">
        <v>0</v>
      </c>
      <c r="E16" s="436">
        <v>0</v>
      </c>
      <c r="F16" s="437">
        <f t="shared" si="4"/>
        <v>0</v>
      </c>
      <c r="G16" s="438">
        <f t="shared" si="0"/>
        <v>0</v>
      </c>
      <c r="H16" s="482">
        <f t="shared" si="7"/>
        <v>0</v>
      </c>
      <c r="I16" s="490">
        <f>G16-H16</f>
        <v>0</v>
      </c>
      <c r="J16" s="442">
        <f>คชจ.ตปท.!C5</f>
        <v>0</v>
      </c>
      <c r="K16" s="439">
        <f>คชจ.ตปท.!D5</f>
        <v>0</v>
      </c>
      <c r="L16" s="440" t="e">
        <f t="shared" si="2"/>
        <v>#DIV/0!</v>
      </c>
      <c r="M16" s="440" t="e">
        <f t="shared" si="3"/>
        <v>#DIV/0!</v>
      </c>
      <c r="N16" s="441" t="e">
        <f t="shared" si="5"/>
        <v>#DIV/0!</v>
      </c>
      <c r="O16" s="596">
        <f t="shared" si="6"/>
        <v>0</v>
      </c>
    </row>
    <row r="17" spans="1:22" hidden="1" x14ac:dyDescent="0.3">
      <c r="A17" s="496" t="s">
        <v>272</v>
      </c>
      <c r="B17" s="435"/>
      <c r="C17" s="778"/>
      <c r="D17" s="435">
        <v>0</v>
      </c>
      <c r="E17" s="436">
        <v>0</v>
      </c>
      <c r="F17" s="437">
        <f t="shared" si="4"/>
        <v>0</v>
      </c>
      <c r="G17" s="438">
        <f t="shared" si="0"/>
        <v>0</v>
      </c>
      <c r="H17" s="482">
        <f t="shared" si="7"/>
        <v>0</v>
      </c>
      <c r="I17" s="490">
        <f>G17-H17</f>
        <v>0</v>
      </c>
      <c r="J17" s="442"/>
      <c r="K17" s="439">
        <f>คชจ.ตปท.!D6</f>
        <v>0</v>
      </c>
      <c r="L17" s="440" t="e">
        <f>H17*100/G17</f>
        <v>#DIV/0!</v>
      </c>
      <c r="M17" s="440" t="e">
        <f>J17*100/G17</f>
        <v>#DIV/0!</v>
      </c>
      <c r="N17" s="441" t="e">
        <f>K17*100/G17</f>
        <v>#DIV/0!</v>
      </c>
      <c r="O17" s="596">
        <f>G17-H17</f>
        <v>0</v>
      </c>
    </row>
    <row r="18" spans="1:22" x14ac:dyDescent="0.3">
      <c r="A18" s="496" t="s">
        <v>352</v>
      </c>
      <c r="B18" s="435">
        <v>3156900</v>
      </c>
      <c r="C18" s="778">
        <f>1500000+867600</f>
        <v>2367600</v>
      </c>
      <c r="D18" s="435">
        <f>+C18-254921</f>
        <v>2112679</v>
      </c>
      <c r="E18" s="436"/>
      <c r="F18" s="501">
        <f>SUM(D18:E18)</f>
        <v>2112679</v>
      </c>
      <c r="G18" s="438">
        <f t="shared" si="0"/>
        <v>254921</v>
      </c>
      <c r="H18" s="482">
        <f t="shared" si="7"/>
        <v>385</v>
      </c>
      <c r="I18" s="490">
        <f>(G18-H18)</f>
        <v>254536</v>
      </c>
      <c r="J18" s="442">
        <f>'15.ข้อมูลกรอบตัวอย่างโดย อกม'!K5</f>
        <v>0</v>
      </c>
      <c r="K18" s="439">
        <f>'15.ข้อมูลกรอบตัวอย่างโดย อกม'!L5</f>
        <v>385</v>
      </c>
      <c r="L18" s="440">
        <f>H18*100/G18</f>
        <v>0.15102718096979065</v>
      </c>
      <c r="M18" s="440">
        <f>J18*100/G18</f>
        <v>0</v>
      </c>
      <c r="N18" s="441">
        <f>K18*100/G18</f>
        <v>0.15102718096979065</v>
      </c>
      <c r="O18" s="596"/>
    </row>
    <row r="19" spans="1:22" x14ac:dyDescent="0.3">
      <c r="A19" s="496" t="s">
        <v>353</v>
      </c>
      <c r="B19" s="435">
        <v>633000</v>
      </c>
      <c r="C19" s="778">
        <v>633000</v>
      </c>
      <c r="D19" s="436">
        <f>308538+158250</f>
        <v>466788</v>
      </c>
      <c r="E19" s="436">
        <v>0</v>
      </c>
      <c r="F19" s="501">
        <f>SUM(D19:E19)</f>
        <v>466788</v>
      </c>
      <c r="G19" s="438">
        <f t="shared" si="0"/>
        <v>166212</v>
      </c>
      <c r="H19" s="482">
        <f t="shared" si="7"/>
        <v>0</v>
      </c>
      <c r="I19" s="490">
        <f t="shared" ref="I19:I27" si="8">G19-H19</f>
        <v>166212</v>
      </c>
      <c r="J19" s="442">
        <f>'16.Socio'!K5</f>
        <v>0</v>
      </c>
      <c r="K19" s="442">
        <f>'16.Socio'!L5</f>
        <v>0</v>
      </c>
      <c r="L19" s="440">
        <f>H19*100/G19</f>
        <v>0</v>
      </c>
      <c r="M19" s="440">
        <f>J19*100/G19</f>
        <v>0</v>
      </c>
      <c r="N19" s="441">
        <f>K19*100/G19</f>
        <v>0</v>
      </c>
      <c r="O19" s="596"/>
    </row>
    <row r="20" spans="1:22" x14ac:dyDescent="0.3">
      <c r="A20" s="496" t="s">
        <v>354</v>
      </c>
      <c r="B20" s="435">
        <v>150000</v>
      </c>
      <c r="C20" s="778">
        <v>150000</v>
      </c>
      <c r="D20" s="436">
        <v>149610</v>
      </c>
      <c r="E20" s="436">
        <v>0</v>
      </c>
      <c r="F20" s="501">
        <f>SUM(D20:E20)</f>
        <v>149610</v>
      </c>
      <c r="G20" s="438">
        <f t="shared" si="0"/>
        <v>390</v>
      </c>
      <c r="H20" s="482">
        <f>SUM(J20:K20)</f>
        <v>0</v>
      </c>
      <c r="I20" s="490">
        <f t="shared" si="8"/>
        <v>390</v>
      </c>
      <c r="J20" s="442">
        <f>'16.Socio'!K6</f>
        <v>0</v>
      </c>
      <c r="K20" s="442">
        <f>'16.Socio'!L6</f>
        <v>0</v>
      </c>
      <c r="L20" s="440">
        <f>H20*100/G20</f>
        <v>0</v>
      </c>
      <c r="M20" s="440">
        <f>J20*100/G20</f>
        <v>0</v>
      </c>
      <c r="N20" s="441">
        <f>K20*100/G20</f>
        <v>0</v>
      </c>
      <c r="O20" s="596"/>
    </row>
    <row r="21" spans="1:22" s="385" customFormat="1" x14ac:dyDescent="0.3">
      <c r="A21" s="586" t="s">
        <v>255</v>
      </c>
      <c r="B21" s="461">
        <f>SUM(B22:B28)</f>
        <v>18766300</v>
      </c>
      <c r="C21" s="854">
        <f>SUM(C22:C28)</f>
        <v>18766300</v>
      </c>
      <c r="D21" s="461">
        <f>SUM(D22:D28)</f>
        <v>0</v>
      </c>
      <c r="E21" s="461">
        <f>SUM(E22:E28)</f>
        <v>0</v>
      </c>
      <c r="F21" s="461">
        <f>SUM(F22:F28)</f>
        <v>0</v>
      </c>
      <c r="G21" s="556">
        <f t="shared" si="0"/>
        <v>18766300</v>
      </c>
      <c r="H21" s="557">
        <f>SUM(J21:K21)</f>
        <v>0</v>
      </c>
      <c r="I21" s="461">
        <f t="shared" si="8"/>
        <v>18766300</v>
      </c>
      <c r="J21" s="462">
        <f>SUM(J22:J28)</f>
        <v>0</v>
      </c>
      <c r="K21" s="463">
        <f>SUM(K22:K28)</f>
        <v>0</v>
      </c>
      <c r="L21" s="464">
        <f>H21*100/G21</f>
        <v>0</v>
      </c>
      <c r="M21" s="464">
        <f>J21*100/G21</f>
        <v>0</v>
      </c>
      <c r="N21" s="465">
        <f>K21*100/G21</f>
        <v>0</v>
      </c>
      <c r="O21" s="552">
        <f t="shared" si="6"/>
        <v>18766300</v>
      </c>
      <c r="P21" s="599"/>
      <c r="Q21" s="599"/>
      <c r="R21" s="599"/>
      <c r="S21" s="599"/>
      <c r="T21" s="599"/>
      <c r="U21" s="599"/>
      <c r="V21" s="599"/>
    </row>
    <row r="22" spans="1:22" hidden="1" x14ac:dyDescent="0.3">
      <c r="A22" s="497" t="s">
        <v>273</v>
      </c>
      <c r="B22" s="427"/>
      <c r="C22" s="855"/>
      <c r="D22" s="427">
        <v>0</v>
      </c>
      <c r="E22" s="428">
        <v>0</v>
      </c>
      <c r="F22" s="429">
        <v>0</v>
      </c>
      <c r="G22" s="430">
        <f t="shared" si="0"/>
        <v>0</v>
      </c>
      <c r="H22" s="500">
        <f t="shared" ref="H22:H27" si="9">SUM(J22:K22)</f>
        <v>0</v>
      </c>
      <c r="I22" s="490">
        <f t="shared" si="8"/>
        <v>0</v>
      </c>
      <c r="J22" s="434">
        <f>'17.ซื้อคอมทดแทน'!K21</f>
        <v>0</v>
      </c>
      <c r="K22" s="431">
        <f>'17.ซื้อคอมทดแทน'!L21</f>
        <v>0</v>
      </c>
      <c r="L22" s="432" t="e">
        <f t="shared" si="2"/>
        <v>#DIV/0!</v>
      </c>
      <c r="M22" s="432" t="e">
        <f t="shared" si="3"/>
        <v>#DIV/0!</v>
      </c>
      <c r="N22" s="433" t="e">
        <f t="shared" si="5"/>
        <v>#DIV/0!</v>
      </c>
      <c r="O22" s="596">
        <f t="shared" si="6"/>
        <v>0</v>
      </c>
    </row>
    <row r="23" spans="1:22" s="598" customFormat="1" x14ac:dyDescent="0.3">
      <c r="A23" s="497" t="s">
        <v>350</v>
      </c>
      <c r="B23" s="427">
        <v>18766300</v>
      </c>
      <c r="C23" s="855">
        <v>18766300</v>
      </c>
      <c r="D23" s="427">
        <v>0</v>
      </c>
      <c r="E23" s="428">
        <v>0</v>
      </c>
      <c r="F23" s="429">
        <v>0</v>
      </c>
      <c r="G23" s="430">
        <f t="shared" si="0"/>
        <v>18766300</v>
      </c>
      <c r="H23" s="500">
        <f t="shared" si="9"/>
        <v>0</v>
      </c>
      <c r="I23" s="490">
        <f t="shared" si="8"/>
        <v>18766300</v>
      </c>
      <c r="J23" s="434">
        <f>'17.ซื้อคอมทดแทน'!K24</f>
        <v>0</v>
      </c>
      <c r="K23" s="431">
        <f>'17.ซื้อคอมทดแทน'!L24</f>
        <v>0</v>
      </c>
      <c r="L23" s="432">
        <f>H23*100/G23</f>
        <v>0</v>
      </c>
      <c r="M23" s="432">
        <f t="shared" si="3"/>
        <v>0</v>
      </c>
      <c r="N23" s="433">
        <f>K23*100/G23</f>
        <v>0</v>
      </c>
      <c r="O23" s="596">
        <f t="shared" si="6"/>
        <v>18766300</v>
      </c>
      <c r="P23" s="595"/>
      <c r="Q23" s="595"/>
      <c r="R23" s="595"/>
      <c r="S23" s="595"/>
      <c r="T23" s="595"/>
      <c r="U23" s="595"/>
      <c r="V23" s="595"/>
    </row>
    <row r="24" spans="1:22" x14ac:dyDescent="0.3">
      <c r="A24" s="497" t="s">
        <v>351</v>
      </c>
      <c r="B24" s="427"/>
      <c r="C24" s="855"/>
      <c r="D24" s="427">
        <v>0</v>
      </c>
      <c r="E24" s="428">
        <v>0</v>
      </c>
      <c r="F24" s="429">
        <v>0</v>
      </c>
      <c r="G24" s="430">
        <f>B24-F24</f>
        <v>0</v>
      </c>
      <c r="H24" s="500">
        <f t="shared" si="9"/>
        <v>0</v>
      </c>
      <c r="I24" s="490">
        <f t="shared" si="8"/>
        <v>0</v>
      </c>
      <c r="J24" s="434"/>
      <c r="K24" s="431">
        <f>'17.ซื้อคอมทดแทน'!L23</f>
        <v>0</v>
      </c>
      <c r="L24" s="432" t="e">
        <f>H24*100/G24</f>
        <v>#DIV/0!</v>
      </c>
      <c r="M24" s="432" t="e">
        <f>J24*100/G24</f>
        <v>#DIV/0!</v>
      </c>
      <c r="N24" s="433" t="e">
        <f>K24*100/G24</f>
        <v>#DIV/0!</v>
      </c>
      <c r="O24" s="596">
        <f>G24-H24</f>
        <v>0</v>
      </c>
    </row>
    <row r="25" spans="1:22" hidden="1" x14ac:dyDescent="0.3">
      <c r="A25" s="497" t="s">
        <v>274</v>
      </c>
      <c r="B25" s="427"/>
      <c r="C25" s="855"/>
      <c r="D25" s="427">
        <v>0</v>
      </c>
      <c r="E25" s="428">
        <v>0</v>
      </c>
      <c r="F25" s="429">
        <v>0</v>
      </c>
      <c r="G25" s="430">
        <f>B25-F25</f>
        <v>0</v>
      </c>
      <c r="H25" s="500">
        <f t="shared" si="9"/>
        <v>0</v>
      </c>
      <c r="I25" s="490">
        <f t="shared" si="8"/>
        <v>0</v>
      </c>
      <c r="J25" s="434">
        <f>'17.ซื้อคอมทดแทน'!K22</f>
        <v>0</v>
      </c>
      <c r="K25" s="431">
        <f>'17.ซื้อคอมทดแทน'!L22</f>
        <v>0</v>
      </c>
      <c r="L25" s="432" t="e">
        <f t="shared" si="2"/>
        <v>#DIV/0!</v>
      </c>
      <c r="M25" s="432" t="e">
        <f t="shared" si="3"/>
        <v>#DIV/0!</v>
      </c>
      <c r="N25" s="433" t="e">
        <f t="shared" si="5"/>
        <v>#DIV/0!</v>
      </c>
      <c r="O25" s="596">
        <f t="shared" si="6"/>
        <v>0</v>
      </c>
    </row>
    <row r="26" spans="1:22" hidden="1" x14ac:dyDescent="0.3">
      <c r="A26" s="497" t="s">
        <v>275</v>
      </c>
      <c r="B26" s="427"/>
      <c r="C26" s="855"/>
      <c r="D26" s="427">
        <v>0</v>
      </c>
      <c r="E26" s="428">
        <v>0</v>
      </c>
      <c r="F26" s="429">
        <v>0</v>
      </c>
      <c r="G26" s="430">
        <f>B26-F26</f>
        <v>0</v>
      </c>
      <c r="H26" s="500">
        <f t="shared" si="9"/>
        <v>0</v>
      </c>
      <c r="I26" s="490">
        <f t="shared" si="8"/>
        <v>0</v>
      </c>
      <c r="J26" s="434">
        <f>+'17.ซื้อคอมทดแทน'!K26</f>
        <v>0</v>
      </c>
      <c r="K26" s="431">
        <f>+'17.ซื้อคอมทดแทน'!L26</f>
        <v>0</v>
      </c>
      <c r="L26" s="432" t="e">
        <f>H26*100/G26</f>
        <v>#DIV/0!</v>
      </c>
      <c r="M26" s="432" t="e">
        <f>J26*100/G26</f>
        <v>#DIV/0!</v>
      </c>
      <c r="N26" s="433" t="e">
        <f>K26*100/G26</f>
        <v>#DIV/0!</v>
      </c>
      <c r="O26" s="596">
        <f>G26-H26</f>
        <v>0</v>
      </c>
    </row>
    <row r="27" spans="1:22" hidden="1" x14ac:dyDescent="0.3">
      <c r="A27" s="497" t="s">
        <v>276</v>
      </c>
      <c r="B27" s="427"/>
      <c r="C27" s="855"/>
      <c r="D27" s="427">
        <v>0</v>
      </c>
      <c r="E27" s="428">
        <v>0</v>
      </c>
      <c r="F27" s="429">
        <v>0</v>
      </c>
      <c r="G27" s="430">
        <f>B27-F27</f>
        <v>0</v>
      </c>
      <c r="H27" s="500">
        <f t="shared" si="9"/>
        <v>0</v>
      </c>
      <c r="I27" s="490">
        <f t="shared" si="8"/>
        <v>0</v>
      </c>
      <c r="J27" s="434">
        <f>+'17.ซื้อคอมทดแทน'!K25</f>
        <v>0</v>
      </c>
      <c r="K27" s="431"/>
      <c r="L27" s="432" t="e">
        <f>H27*100/G27</f>
        <v>#DIV/0!</v>
      </c>
      <c r="M27" s="432" t="e">
        <f>J27*100/G27</f>
        <v>#DIV/0!</v>
      </c>
      <c r="N27" s="433" t="e">
        <f>K27*100/G27</f>
        <v>#DIV/0!</v>
      </c>
      <c r="O27" s="596">
        <f>G27-H27</f>
        <v>0</v>
      </c>
      <c r="P27" s="595" t="s">
        <v>282</v>
      </c>
    </row>
    <row r="28" spans="1:22" hidden="1" x14ac:dyDescent="0.3">
      <c r="A28" s="587" t="s">
        <v>277</v>
      </c>
      <c r="B28" s="427"/>
      <c r="C28" s="855"/>
      <c r="D28" s="427">
        <v>0</v>
      </c>
      <c r="E28" s="428"/>
      <c r="F28" s="429">
        <f>SUM(D28:E28)</f>
        <v>0</v>
      </c>
      <c r="G28" s="430">
        <f>B28-F28</f>
        <v>0</v>
      </c>
      <c r="H28" s="500" t="e">
        <f>+J28:K28</f>
        <v>#VALUE!</v>
      </c>
      <c r="I28" s="490" t="e">
        <f>+G28-H28</f>
        <v>#VALUE!</v>
      </c>
      <c r="J28" s="434"/>
      <c r="K28" s="431"/>
      <c r="L28" s="432" t="e">
        <f>H28*100/G28</f>
        <v>#VALUE!</v>
      </c>
      <c r="M28" s="432" t="e">
        <f>J28*100/G28</f>
        <v>#DIV/0!</v>
      </c>
      <c r="N28" s="433" t="e">
        <f>K28*100/G28</f>
        <v>#DIV/0!</v>
      </c>
      <c r="O28" s="596" t="e">
        <f t="shared" si="6"/>
        <v>#VALUE!</v>
      </c>
    </row>
    <row r="29" spans="1:22" s="449" customFormat="1" ht="32.25" customHeight="1" thickBot="1" x14ac:dyDescent="0.55000000000000004">
      <c r="A29" s="512" t="s">
        <v>28</v>
      </c>
      <c r="B29" s="513">
        <f t="shared" ref="B29:G29" si="10">SUM(B7+B8+B13+B21)</f>
        <v>79103450</v>
      </c>
      <c r="C29" s="857">
        <f t="shared" si="10"/>
        <v>63571350</v>
      </c>
      <c r="D29" s="513">
        <f t="shared" si="10"/>
        <v>23309663</v>
      </c>
      <c r="E29" s="513">
        <f t="shared" si="10"/>
        <v>291000</v>
      </c>
      <c r="F29" s="514">
        <f t="shared" si="10"/>
        <v>23600663</v>
      </c>
      <c r="G29" s="491">
        <f t="shared" si="10"/>
        <v>39970687</v>
      </c>
      <c r="H29" s="492" t="e">
        <f>+H7+H8+H13+H21</f>
        <v>#REF!</v>
      </c>
      <c r="I29" s="478" t="e">
        <f>+I7+I8+I13+I21</f>
        <v>#REF!</v>
      </c>
      <c r="J29" s="487" t="e">
        <f>SUM(J7+J8+J21+J13)</f>
        <v>#REF!</v>
      </c>
      <c r="K29" s="478" t="e">
        <f>SUM(K7+K8+K21+K13)</f>
        <v>#REF!</v>
      </c>
      <c r="L29" s="515" t="e">
        <f>H29*100/G29</f>
        <v>#REF!</v>
      </c>
      <c r="M29" s="515" t="e">
        <f>J29*100/G29</f>
        <v>#REF!</v>
      </c>
      <c r="N29" s="516" t="e">
        <f>K29*100/G29</f>
        <v>#REF!</v>
      </c>
      <c r="O29" s="601"/>
      <c r="P29" s="601"/>
      <c r="Q29" s="601"/>
      <c r="R29" s="601"/>
      <c r="S29" s="601"/>
      <c r="T29" s="601"/>
      <c r="U29" s="601"/>
      <c r="V29" s="601"/>
    </row>
    <row r="30" spans="1:22" s="449" customFormat="1" ht="32.25" customHeight="1" thickTop="1" x14ac:dyDescent="0.5">
      <c r="A30" s="791"/>
      <c r="B30" s="792"/>
      <c r="C30" s="792"/>
      <c r="D30" s="792"/>
      <c r="E30" s="792"/>
      <c r="F30" s="792"/>
      <c r="G30" s="792"/>
      <c r="H30" s="792"/>
      <c r="I30" s="792"/>
      <c r="J30" s="792"/>
      <c r="K30" s="792"/>
      <c r="L30" s="793"/>
      <c r="M30" s="793"/>
      <c r="N30" s="793"/>
      <c r="O30" s="601"/>
      <c r="P30" s="601"/>
      <c r="Q30" s="601"/>
      <c r="R30" s="601"/>
      <c r="S30" s="601"/>
      <c r="T30" s="601"/>
      <c r="U30" s="601"/>
      <c r="V30" s="601"/>
    </row>
    <row r="31" spans="1:22" s="449" customFormat="1" ht="32.25" customHeight="1" x14ac:dyDescent="0.5">
      <c r="A31" s="791"/>
      <c r="B31" s="792"/>
      <c r="C31" s="792"/>
      <c r="D31" s="792"/>
      <c r="E31" s="792"/>
      <c r="F31" s="792"/>
      <c r="G31" s="792"/>
      <c r="H31" s="792"/>
      <c r="I31" s="792"/>
      <c r="J31" s="792"/>
      <c r="K31" s="792"/>
      <c r="L31" s="793"/>
      <c r="M31" s="793"/>
      <c r="N31" s="793"/>
      <c r="O31" s="601"/>
      <c r="P31" s="601"/>
      <c r="Q31" s="601"/>
      <c r="R31" s="601"/>
      <c r="S31" s="601"/>
      <c r="T31" s="601"/>
      <c r="U31" s="601"/>
      <c r="V31" s="601"/>
    </row>
    <row r="32" spans="1:22" s="449" customFormat="1" ht="32.25" customHeight="1" x14ac:dyDescent="0.5">
      <c r="A32" s="791"/>
      <c r="B32" s="792"/>
      <c r="C32" s="792"/>
      <c r="D32" s="792"/>
      <c r="E32" s="792"/>
      <c r="F32" s="792"/>
      <c r="G32" s="792"/>
      <c r="H32" s="792"/>
      <c r="I32" s="792"/>
      <c r="J32" s="792"/>
      <c r="K32" s="792"/>
      <c r="L32" s="793"/>
      <c r="M32" s="793"/>
      <c r="N32" s="793"/>
      <c r="O32" s="601"/>
      <c r="P32" s="601"/>
      <c r="Q32" s="601"/>
      <c r="R32" s="601"/>
      <c r="S32" s="601"/>
      <c r="T32" s="601"/>
      <c r="U32" s="601"/>
      <c r="V32" s="601"/>
    </row>
    <row r="33" spans="1:22" s="449" customFormat="1" ht="32.25" customHeight="1" x14ac:dyDescent="0.5">
      <c r="A33" s="791"/>
      <c r="B33" s="792"/>
      <c r="C33" s="792"/>
      <c r="D33" s="792"/>
      <c r="E33" s="792"/>
      <c r="F33" s="792"/>
      <c r="G33" s="792"/>
      <c r="H33" s="792"/>
      <c r="I33" s="792"/>
      <c r="J33" s="792"/>
      <c r="K33" s="792"/>
      <c r="L33" s="793"/>
      <c r="M33" s="793"/>
      <c r="N33" s="793"/>
      <c r="O33" s="601"/>
      <c r="P33" s="601"/>
      <c r="Q33" s="601"/>
      <c r="R33" s="601"/>
      <c r="S33" s="601"/>
      <c r="T33" s="601"/>
      <c r="U33" s="601"/>
      <c r="V33" s="601"/>
    </row>
    <row r="34" spans="1:22" s="385" customFormat="1" x14ac:dyDescent="0.3">
      <c r="A34" s="383"/>
      <c r="B34" s="401"/>
      <c r="C34" s="401"/>
      <c r="D34" s="401"/>
      <c r="E34" s="401"/>
      <c r="F34" s="401"/>
      <c r="G34" s="402"/>
      <c r="H34" s="402"/>
      <c r="I34" s="402"/>
      <c r="J34" s="402"/>
      <c r="K34" s="402"/>
      <c r="L34" s="403"/>
      <c r="M34" s="403"/>
      <c r="N34" s="403"/>
      <c r="O34" s="599"/>
      <c r="P34" s="599"/>
      <c r="Q34" s="599"/>
      <c r="R34" s="599"/>
      <c r="S34" s="599"/>
      <c r="T34" s="599"/>
      <c r="U34" s="599"/>
      <c r="V34" s="599"/>
    </row>
    <row r="35" spans="1:22" ht="21" customHeight="1" thickBot="1" x14ac:dyDescent="0.35">
      <c r="A35" s="404" t="s">
        <v>18</v>
      </c>
      <c r="B35" s="366" t="s">
        <v>252</v>
      </c>
      <c r="C35" s="366" t="s">
        <v>252</v>
      </c>
      <c r="F35" s="443">
        <f>D7+D9+D10+D11+D12</f>
        <v>14852486</v>
      </c>
      <c r="H35" s="40"/>
    </row>
    <row r="36" spans="1:22" x14ac:dyDescent="0.3">
      <c r="F36" s="405"/>
      <c r="G36" s="405"/>
      <c r="H36" s="385"/>
      <c r="I36" s="401" t="s">
        <v>289</v>
      </c>
      <c r="K36" s="395">
        <v>84023600</v>
      </c>
      <c r="L36" s="406"/>
    </row>
    <row r="37" spans="1:22" ht="21" x14ac:dyDescent="0.35">
      <c r="B37" s="406"/>
      <c r="C37" s="406"/>
      <c r="D37" s="588" t="s">
        <v>81</v>
      </c>
      <c r="E37" s="588" t="s">
        <v>104</v>
      </c>
      <c r="F37" s="589" t="s">
        <v>28</v>
      </c>
      <c r="G37" s="406"/>
      <c r="H37" s="217"/>
      <c r="J37" s="366" t="s">
        <v>290</v>
      </c>
      <c r="K37" s="395">
        <v>8303150</v>
      </c>
    </row>
    <row r="38" spans="1:22" x14ac:dyDescent="0.3">
      <c r="B38" s="43" t="s">
        <v>244</v>
      </c>
      <c r="C38" s="43" t="s">
        <v>244</v>
      </c>
      <c r="D38" s="415">
        <f>D7</f>
        <v>6315942</v>
      </c>
      <c r="E38" s="415">
        <f>D8</f>
        <v>8536544</v>
      </c>
      <c r="F38" s="415">
        <f>SUM(D38:E38)</f>
        <v>14852486</v>
      </c>
      <c r="G38" s="401"/>
      <c r="J38" s="366" t="s">
        <v>16</v>
      </c>
      <c r="K38" s="415">
        <f>+K36-K37</f>
        <v>75720450</v>
      </c>
    </row>
    <row r="39" spans="1:22" x14ac:dyDescent="0.3">
      <c r="A39" s="590"/>
      <c r="B39" s="43" t="s">
        <v>250</v>
      </c>
      <c r="C39" s="43" t="s">
        <v>250</v>
      </c>
      <c r="D39" s="415">
        <f>E7</f>
        <v>0</v>
      </c>
      <c r="E39" s="415">
        <f>E8</f>
        <v>0</v>
      </c>
      <c r="F39" s="415">
        <f>SUM(D39:E39)</f>
        <v>0</v>
      </c>
      <c r="G39" s="406"/>
    </row>
    <row r="40" spans="1:22" x14ac:dyDescent="0.3">
      <c r="B40" s="383" t="s">
        <v>28</v>
      </c>
      <c r="C40" s="383" t="s">
        <v>28</v>
      </c>
      <c r="D40" s="401">
        <f>SUM(D38:D39)</f>
        <v>6315942</v>
      </c>
      <c r="E40" s="401">
        <f>SUM(E38:E39)</f>
        <v>8536544</v>
      </c>
      <c r="F40" s="401">
        <f>SUM(F38:F39)</f>
        <v>14852486</v>
      </c>
      <c r="G40" s="401"/>
    </row>
    <row r="43" spans="1:22" ht="31.5" customHeight="1" x14ac:dyDescent="0.3">
      <c r="A43" s="681" t="s">
        <v>296</v>
      </c>
    </row>
    <row r="44" spans="1:22" ht="30" customHeight="1" x14ac:dyDescent="0.3">
      <c r="A44" s="668" t="s">
        <v>0</v>
      </c>
      <c r="B44" s="669" t="s">
        <v>300</v>
      </c>
      <c r="C44" s="669" t="s">
        <v>300</v>
      </c>
      <c r="D44" s="668" t="s">
        <v>297</v>
      </c>
      <c r="E44" s="668" t="s">
        <v>16</v>
      </c>
      <c r="F44" s="668" t="s">
        <v>68</v>
      </c>
      <c r="G44" s="679" t="s">
        <v>298</v>
      </c>
      <c r="H44" s="680" t="s">
        <v>299</v>
      </c>
    </row>
    <row r="45" spans="1:22" ht="21" x14ac:dyDescent="0.35">
      <c r="A45" s="366" t="s">
        <v>303</v>
      </c>
      <c r="B45" s="664">
        <v>38398400</v>
      </c>
      <c r="C45" s="664">
        <v>38398400</v>
      </c>
      <c r="D45" s="666">
        <v>8303150</v>
      </c>
      <c r="E45" s="666">
        <f>+B45-D45</f>
        <v>30095250</v>
      </c>
      <c r="F45" s="650">
        <v>10725246</v>
      </c>
      <c r="G45" s="665">
        <f>+E45-F45</f>
        <v>19370004</v>
      </c>
      <c r="H45" s="684">
        <v>30095250</v>
      </c>
      <c r="O45" s="366"/>
      <c r="P45" s="366"/>
      <c r="Q45" s="366"/>
      <c r="R45" s="366"/>
      <c r="S45" s="366"/>
      <c r="T45" s="366"/>
      <c r="U45" s="366"/>
      <c r="V45" s="366"/>
    </row>
    <row r="46" spans="1:22" x14ac:dyDescent="0.3">
      <c r="A46" s="3" t="s">
        <v>266</v>
      </c>
      <c r="B46" s="650">
        <v>5000000</v>
      </c>
      <c r="C46" s="650">
        <v>5000000</v>
      </c>
      <c r="D46" s="366">
        <v>0</v>
      </c>
      <c r="E46" s="406">
        <f>+B46-D46</f>
        <v>5000000</v>
      </c>
      <c r="F46" s="650">
        <v>4738092</v>
      </c>
      <c r="G46" s="665">
        <f t="shared" ref="G46:G54" si="11">+E46-F46</f>
        <v>261908</v>
      </c>
      <c r="H46" s="682">
        <v>2500000</v>
      </c>
      <c r="O46" s="366"/>
      <c r="P46" s="366"/>
      <c r="Q46" s="366"/>
      <c r="R46" s="366"/>
      <c r="S46" s="366"/>
      <c r="T46" s="366"/>
      <c r="U46" s="366"/>
      <c r="V46" s="366"/>
    </row>
    <row r="47" spans="1:22" x14ac:dyDescent="0.3">
      <c r="A47" s="3" t="s">
        <v>267</v>
      </c>
      <c r="B47" s="650">
        <v>2789300</v>
      </c>
      <c r="C47" s="650">
        <v>2789300</v>
      </c>
      <c r="D47" s="366">
        <v>0</v>
      </c>
      <c r="E47" s="406">
        <f t="shared" ref="E47:E53" si="12">+B47-D47</f>
        <v>2789300</v>
      </c>
      <c r="F47" s="650">
        <v>2050119</v>
      </c>
      <c r="G47" s="665">
        <f t="shared" si="11"/>
        <v>739181</v>
      </c>
      <c r="H47" s="682">
        <v>1200000</v>
      </c>
      <c r="O47" s="366"/>
      <c r="P47" s="366"/>
      <c r="Q47" s="366"/>
      <c r="R47" s="366"/>
      <c r="S47" s="366"/>
      <c r="T47" s="366"/>
      <c r="U47" s="366"/>
      <c r="V47" s="366"/>
    </row>
    <row r="48" spans="1:22" x14ac:dyDescent="0.3">
      <c r="A48" s="3" t="s">
        <v>268</v>
      </c>
      <c r="B48" s="650">
        <v>4617600</v>
      </c>
      <c r="C48" s="650">
        <v>4617600</v>
      </c>
      <c r="D48" s="366">
        <v>0</v>
      </c>
      <c r="E48" s="406">
        <f t="shared" si="12"/>
        <v>4617600</v>
      </c>
      <c r="F48" s="650">
        <v>4060000</v>
      </c>
      <c r="G48" s="665">
        <f t="shared" si="11"/>
        <v>557600</v>
      </c>
      <c r="H48" s="682">
        <v>2505700</v>
      </c>
      <c r="O48" s="366"/>
      <c r="P48" s="366"/>
      <c r="Q48" s="366"/>
      <c r="R48" s="366"/>
      <c r="S48" s="366"/>
      <c r="T48" s="366"/>
      <c r="U48" s="366"/>
      <c r="V48" s="366"/>
    </row>
    <row r="49" spans="1:9" s="366" customFormat="1" x14ac:dyDescent="0.3">
      <c r="A49" s="3" t="s">
        <v>287</v>
      </c>
      <c r="B49" s="650">
        <v>1545100</v>
      </c>
      <c r="C49" s="650">
        <v>1545100</v>
      </c>
      <c r="D49" s="366">
        <v>0</v>
      </c>
      <c r="E49" s="406">
        <f t="shared" si="12"/>
        <v>1545100</v>
      </c>
      <c r="F49" s="650">
        <v>672410</v>
      </c>
      <c r="G49" s="665">
        <f t="shared" si="11"/>
        <v>872690</v>
      </c>
      <c r="H49" s="682">
        <v>772500</v>
      </c>
    </row>
    <row r="50" spans="1:9" s="366" customFormat="1" x14ac:dyDescent="0.3">
      <c r="A50" s="3" t="s">
        <v>269</v>
      </c>
      <c r="B50" s="650">
        <v>9750000</v>
      </c>
      <c r="C50" s="650">
        <v>9750000</v>
      </c>
      <c r="D50" s="366">
        <v>0</v>
      </c>
      <c r="E50" s="406">
        <f t="shared" si="12"/>
        <v>9750000</v>
      </c>
      <c r="F50" s="406">
        <f>+E50-11620</f>
        <v>9738380</v>
      </c>
      <c r="G50" s="665">
        <f t="shared" si="11"/>
        <v>11620</v>
      </c>
      <c r="H50" s="682">
        <v>2788200</v>
      </c>
    </row>
    <row r="51" spans="1:9" s="366" customFormat="1" x14ac:dyDescent="0.3">
      <c r="A51" s="3" t="s">
        <v>278</v>
      </c>
      <c r="B51" s="650">
        <v>3156900</v>
      </c>
      <c r="C51" s="650">
        <v>3156900</v>
      </c>
      <c r="D51" s="366">
        <v>0</v>
      </c>
      <c r="E51" s="406">
        <f t="shared" si="12"/>
        <v>3156900</v>
      </c>
      <c r="F51" s="406">
        <f>+E51-308230</f>
        <v>2848670</v>
      </c>
      <c r="G51" s="665">
        <f t="shared" si="11"/>
        <v>308230</v>
      </c>
      <c r="H51" s="682">
        <v>1500000</v>
      </c>
    </row>
    <row r="52" spans="1:9" s="366" customFormat="1" x14ac:dyDescent="0.3">
      <c r="A52" s="674" t="s">
        <v>279</v>
      </c>
      <c r="B52" s="675">
        <v>633000</v>
      </c>
      <c r="C52" s="675">
        <v>633000</v>
      </c>
      <c r="D52" s="676">
        <v>0</v>
      </c>
      <c r="E52" s="677">
        <f t="shared" si="12"/>
        <v>633000</v>
      </c>
      <c r="F52" s="677">
        <v>633000</v>
      </c>
      <c r="G52" s="678">
        <f t="shared" si="11"/>
        <v>0</v>
      </c>
      <c r="H52" s="682"/>
      <c r="I52" s="366" t="s">
        <v>301</v>
      </c>
    </row>
    <row r="53" spans="1:9" s="366" customFormat="1" x14ac:dyDescent="0.3">
      <c r="A53" s="3" t="s">
        <v>288</v>
      </c>
      <c r="B53" s="650">
        <v>18766300</v>
      </c>
      <c r="C53" s="650">
        <v>18766300</v>
      </c>
      <c r="D53" s="366">
        <v>0</v>
      </c>
      <c r="E53" s="406">
        <f t="shared" si="12"/>
        <v>18766300</v>
      </c>
      <c r="F53" s="385">
        <v>0</v>
      </c>
      <c r="G53" s="665">
        <f t="shared" si="11"/>
        <v>18766300</v>
      </c>
      <c r="H53" s="682">
        <f>+G53</f>
        <v>18766300</v>
      </c>
    </row>
    <row r="54" spans="1:9" s="673" customFormat="1" ht="34.5" customHeight="1" x14ac:dyDescent="0.5">
      <c r="A54" s="670"/>
      <c r="B54" s="671">
        <f>SUM(B45:B53)</f>
        <v>84656600</v>
      </c>
      <c r="C54" s="671">
        <f>SUM(C45:C53)</f>
        <v>84656600</v>
      </c>
      <c r="D54" s="672">
        <f>SUM(D45:D53)</f>
        <v>8303150</v>
      </c>
      <c r="E54" s="672">
        <f>SUM(E45:E53)</f>
        <v>76353450</v>
      </c>
      <c r="F54" s="672">
        <f>SUM(F45:F53)</f>
        <v>35465917</v>
      </c>
      <c r="G54" s="671">
        <f t="shared" si="11"/>
        <v>40887533</v>
      </c>
      <c r="H54" s="683">
        <f>SUM(H45:H53)</f>
        <v>60127950</v>
      </c>
    </row>
    <row r="55" spans="1:9" s="366" customFormat="1" x14ac:dyDescent="0.3">
      <c r="F55" s="385"/>
    </row>
  </sheetData>
  <mergeCells count="7">
    <mergeCell ref="A1:N1"/>
    <mergeCell ref="M2:N2"/>
    <mergeCell ref="D3:F3"/>
    <mergeCell ref="H3:N3"/>
    <mergeCell ref="F4:F6"/>
    <mergeCell ref="D4:D6"/>
    <mergeCell ref="E4:E6"/>
  </mergeCells>
  <pageMargins left="0" right="0" top="0.55118110236220497" bottom="0" header="0.31496062992126" footer="0.31496062992126"/>
  <pageSetup paperSize="9" scale="95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S74"/>
  <sheetViews>
    <sheetView topLeftCell="A4" zoomScaleNormal="100" workbookViewId="0">
      <selection activeCell="E18" sqref="E18"/>
    </sheetView>
  </sheetViews>
  <sheetFormatPr defaultColWidth="9.140625" defaultRowHeight="17.25" x14ac:dyDescent="0.3"/>
  <cols>
    <col min="1" max="1" width="21.85546875" style="3" customWidth="1"/>
    <col min="2" max="2" width="9.7109375" style="3" customWidth="1"/>
    <col min="3" max="3" width="11" style="3" customWidth="1"/>
    <col min="4" max="4" width="11.140625" style="3" customWidth="1"/>
    <col min="5" max="5" width="10.85546875" style="2" customWidth="1"/>
    <col min="6" max="6" width="11.7109375" style="550" customWidth="1"/>
    <col min="7" max="7" width="9.7109375" style="548" customWidth="1"/>
    <col min="8" max="8" width="9.140625" style="2" customWidth="1"/>
    <col min="9" max="9" width="11.140625" style="2" customWidth="1"/>
    <col min="10" max="10" width="7.28515625" style="787" customWidth="1"/>
    <col min="11" max="11" width="15.85546875" style="889" customWidth="1"/>
    <col min="12" max="12" width="29.7109375" style="548" customWidth="1"/>
    <col min="13" max="13" width="12.28515625" style="548" customWidth="1"/>
    <col min="14" max="14" width="10.85546875" style="548" customWidth="1"/>
    <col min="15" max="15" width="10.42578125" style="3" customWidth="1"/>
    <col min="16" max="16" width="11.42578125" style="3" customWidth="1"/>
    <col min="17" max="17" width="13.140625" style="3" customWidth="1"/>
    <col min="18" max="18" width="11.5703125" style="3" bestFit="1" customWidth="1"/>
    <col min="19" max="16384" width="9.140625" style="3"/>
  </cols>
  <sheetData>
    <row r="1" spans="1:19" ht="19.5" customHeight="1" thickBot="1" x14ac:dyDescent="0.35">
      <c r="A1" s="3136" t="s">
        <v>75</v>
      </c>
      <c r="B1" s="3136"/>
      <c r="C1" s="3136"/>
      <c r="D1" s="3136"/>
      <c r="E1" s="3136"/>
      <c r="F1" s="3136"/>
      <c r="G1" s="3136"/>
      <c r="H1" s="3136"/>
      <c r="I1" s="3136"/>
      <c r="J1" s="782"/>
      <c r="K1" s="782"/>
      <c r="L1" s="782"/>
      <c r="M1" s="890"/>
    </row>
    <row r="2" spans="1:19" s="6" customFormat="1" ht="19.5" customHeight="1" thickTop="1" x14ac:dyDescent="0.5">
      <c r="A2" s="4"/>
      <c r="B2" s="690"/>
      <c r="C2" s="5" t="s">
        <v>39</v>
      </c>
      <c r="D2" s="3125" t="s">
        <v>344</v>
      </c>
      <c r="E2" s="3137" t="s">
        <v>103</v>
      </c>
      <c r="F2" s="3137"/>
      <c r="G2" s="3137"/>
      <c r="H2" s="3137"/>
      <c r="I2" s="3138"/>
      <c r="J2" s="884"/>
      <c r="K2" s="884"/>
      <c r="L2" s="783"/>
      <c r="M2" s="783"/>
      <c r="N2" s="893"/>
    </row>
    <row r="3" spans="1:19" s="6" customFormat="1" ht="19.5" customHeight="1" x14ac:dyDescent="0.5">
      <c r="A3" s="7" t="s">
        <v>0</v>
      </c>
      <c r="B3" s="542" t="s">
        <v>26</v>
      </c>
      <c r="C3" s="8" t="s">
        <v>29</v>
      </c>
      <c r="D3" s="3126"/>
      <c r="E3" s="3139">
        <f ca="1">+TODAY()</f>
        <v>45660</v>
      </c>
      <c r="F3" s="3139"/>
      <c r="G3" s="3139"/>
      <c r="H3" s="3139"/>
      <c r="I3" s="3140"/>
      <c r="J3" s="885"/>
      <c r="K3" s="885"/>
      <c r="L3" s="783"/>
      <c r="M3" s="783"/>
      <c r="N3" s="893"/>
    </row>
    <row r="4" spans="1:19" s="6" customFormat="1" ht="19.5" customHeight="1" x14ac:dyDescent="0.5">
      <c r="A4" s="7"/>
      <c r="B4" s="542" t="s">
        <v>70</v>
      </c>
      <c r="C4" s="8" t="s">
        <v>70</v>
      </c>
      <c r="D4" s="3126"/>
      <c r="E4" s="9" t="s">
        <v>28</v>
      </c>
      <c r="F4" s="528" t="s">
        <v>34</v>
      </c>
      <c r="G4" s="529" t="s">
        <v>62</v>
      </c>
      <c r="H4" s="10" t="s">
        <v>22</v>
      </c>
      <c r="I4" s="11" t="s">
        <v>16</v>
      </c>
      <c r="J4" s="884"/>
      <c r="K4" s="884"/>
      <c r="L4" s="783"/>
      <c r="M4" s="783"/>
      <c r="N4" s="893"/>
    </row>
    <row r="5" spans="1:19" s="6" customFormat="1" ht="22.5" customHeight="1" x14ac:dyDescent="0.5">
      <c r="A5" s="12"/>
      <c r="B5" s="691">
        <v>2563</v>
      </c>
      <c r="C5" s="502">
        <v>2564</v>
      </c>
      <c r="D5" s="3127"/>
      <c r="E5" s="13" t="s">
        <v>58</v>
      </c>
      <c r="F5" s="530"/>
      <c r="G5" s="531"/>
      <c r="H5" s="1" t="s">
        <v>63</v>
      </c>
      <c r="I5" s="14"/>
      <c r="J5" s="884"/>
      <c r="K5" s="884"/>
      <c r="L5" s="783"/>
      <c r="M5" s="783"/>
      <c r="N5" s="893"/>
    </row>
    <row r="6" spans="1:19" s="6" customFormat="1" ht="35.25" customHeight="1" x14ac:dyDescent="0.5">
      <c r="A6" s="849" t="s">
        <v>341</v>
      </c>
      <c r="B6" s="692">
        <v>55348400</v>
      </c>
      <c r="C6" s="44" t="e">
        <f>C50</f>
        <v>#REF!</v>
      </c>
      <c r="D6" s="838">
        <f>+D50</f>
        <v>38002950</v>
      </c>
      <c r="E6" s="45"/>
      <c r="F6" s="451"/>
      <c r="G6" s="362"/>
      <c r="H6" s="32"/>
      <c r="I6" s="44"/>
      <c r="J6" s="361"/>
      <c r="K6" s="361"/>
      <c r="L6" s="705"/>
      <c r="M6" s="705"/>
      <c r="N6" s="893"/>
    </row>
    <row r="7" spans="1:19" s="6" customFormat="1" ht="13.5" customHeight="1" x14ac:dyDescent="0.5">
      <c r="A7" s="33"/>
      <c r="B7" s="692"/>
      <c r="C7" s="44"/>
      <c r="D7" s="838"/>
      <c r="E7" s="45"/>
      <c r="F7" s="451"/>
      <c r="G7" s="362"/>
      <c r="H7" s="32"/>
      <c r="I7" s="44"/>
      <c r="J7" s="361"/>
      <c r="K7" s="361"/>
      <c r="L7" s="705"/>
      <c r="M7" s="705"/>
      <c r="N7" s="893"/>
    </row>
    <row r="8" spans="1:19" s="6" customFormat="1" ht="21" customHeight="1" x14ac:dyDescent="0.3">
      <c r="A8" s="33" t="s">
        <v>113</v>
      </c>
      <c r="B8" s="702">
        <v>33942670</v>
      </c>
      <c r="C8" s="703">
        <f>E50</f>
        <v>16965165</v>
      </c>
      <c r="D8" s="880">
        <f>+'4 สรุปตามการจัดสรร 2+3'!D53</f>
        <v>23393205</v>
      </c>
      <c r="E8" s="361"/>
      <c r="F8" s="451"/>
      <c r="G8" s="362"/>
      <c r="H8" s="704"/>
      <c r="I8" s="703"/>
      <c r="J8" s="361"/>
      <c r="K8" s="3141" t="s">
        <v>377</v>
      </c>
      <c r="L8" s="3141"/>
      <c r="M8" s="3141"/>
      <c r="N8" s="3141"/>
      <c r="O8" s="3141"/>
      <c r="P8" s="3141"/>
      <c r="Q8" s="3141"/>
      <c r="R8" s="17"/>
      <c r="S8" s="17"/>
    </row>
    <row r="9" spans="1:19" s="30" customFormat="1" ht="13.5" customHeight="1" x14ac:dyDescent="0.5">
      <c r="A9" s="706" t="s">
        <v>74</v>
      </c>
      <c r="B9" s="707"/>
      <c r="C9" s="708"/>
      <c r="D9" s="839"/>
      <c r="E9" s="705"/>
      <c r="F9" s="532"/>
      <c r="G9" s="533" t="s">
        <v>91</v>
      </c>
      <c r="H9" s="709"/>
      <c r="I9" s="710"/>
      <c r="J9" s="705"/>
      <c r="K9" s="705"/>
      <c r="L9" s="705"/>
      <c r="M9" s="705"/>
      <c r="N9" s="894"/>
    </row>
    <row r="10" spans="1:19" s="6" customFormat="1" ht="21" customHeight="1" x14ac:dyDescent="0.5">
      <c r="A10" s="851" t="s">
        <v>239</v>
      </c>
      <c r="B10" s="702"/>
      <c r="C10" s="711"/>
      <c r="D10" s="840"/>
      <c r="E10" s="361"/>
      <c r="F10" s="451"/>
      <c r="G10" s="362"/>
      <c r="H10" s="704"/>
      <c r="I10" s="703"/>
      <c r="J10" s="361"/>
      <c r="K10" s="361"/>
      <c r="L10" s="361"/>
      <c r="M10" s="361"/>
      <c r="N10" s="893"/>
      <c r="O10" s="712"/>
    </row>
    <row r="11" spans="1:19" s="6" customFormat="1" ht="11.25" customHeight="1" x14ac:dyDescent="0.5">
      <c r="A11" s="33"/>
      <c r="B11" s="702"/>
      <c r="C11" s="711"/>
      <c r="D11" s="840"/>
      <c r="E11" s="361"/>
      <c r="F11" s="451"/>
      <c r="G11" s="362"/>
      <c r="H11" s="704"/>
      <c r="I11" s="703"/>
      <c r="J11" s="361"/>
      <c r="K11" s="361"/>
      <c r="L11" s="361"/>
      <c r="M11" s="361"/>
      <c r="N11" s="893"/>
    </row>
    <row r="12" spans="1:19" s="6" customFormat="1" ht="21" customHeight="1" x14ac:dyDescent="0.3">
      <c r="A12" s="33" t="s">
        <v>240</v>
      </c>
      <c r="B12" s="702"/>
      <c r="C12" s="713"/>
      <c r="D12" s="841"/>
      <c r="E12" s="361"/>
      <c r="F12" s="451"/>
      <c r="G12" s="362"/>
      <c r="H12" s="704"/>
      <c r="I12" s="703"/>
      <c r="J12" s="361"/>
      <c r="K12" s="3135" t="s">
        <v>373</v>
      </c>
      <c r="L12" s="3135"/>
      <c r="M12" s="3135"/>
      <c r="N12" s="3135"/>
      <c r="O12" s="3135"/>
      <c r="P12" s="3135"/>
      <c r="Q12" s="3135"/>
    </row>
    <row r="13" spans="1:19" s="30" customFormat="1" ht="10.5" customHeight="1" thickBot="1" x14ac:dyDescent="0.55000000000000004">
      <c r="A13" s="706"/>
      <c r="B13" s="707"/>
      <c r="C13" s="708"/>
      <c r="D13" s="839"/>
      <c r="E13" s="705"/>
      <c r="F13" s="532"/>
      <c r="G13" s="533"/>
      <c r="H13" s="709"/>
      <c r="I13" s="710"/>
      <c r="J13" s="705"/>
      <c r="K13" s="705"/>
      <c r="L13" s="705"/>
      <c r="M13" s="705"/>
      <c r="N13" s="894"/>
    </row>
    <row r="14" spans="1:19" s="17" customFormat="1" ht="19.5" customHeight="1" thickBot="1" x14ac:dyDescent="0.35">
      <c r="A14" s="850" t="s">
        <v>241</v>
      </c>
      <c r="B14" s="714">
        <v>21405730</v>
      </c>
      <c r="C14" s="715" t="e">
        <f>C6-C8-C12</f>
        <v>#REF!</v>
      </c>
      <c r="D14" s="842">
        <f>+D6-D8-D10</f>
        <v>14609745</v>
      </c>
      <c r="E14" s="716" t="e">
        <f>SUM(F14+G14)</f>
        <v>#REF!</v>
      </c>
      <c r="F14" s="534" t="e">
        <f>SUM(F15+F27+F29+F31)</f>
        <v>#REF!</v>
      </c>
      <c r="G14" s="534" t="e">
        <f>SUM(G15+G27+G29+G31)</f>
        <v>#REF!</v>
      </c>
      <c r="H14" s="717" t="e">
        <f>G14*100/C14</f>
        <v>#REF!</v>
      </c>
      <c r="I14" s="715" t="e">
        <f>C14-E14</f>
        <v>#REF!</v>
      </c>
      <c r="J14" s="786"/>
      <c r="K14" s="3130" t="s">
        <v>378</v>
      </c>
      <c r="L14" s="3131"/>
      <c r="M14" s="3131"/>
      <c r="N14" s="3131"/>
      <c r="O14" s="3132"/>
      <c r="P14" s="3142" t="s">
        <v>374</v>
      </c>
      <c r="Q14" s="3143"/>
      <c r="R14" s="919"/>
    </row>
    <row r="15" spans="1:19" s="17" customFormat="1" ht="19.5" customHeight="1" thickTop="1" x14ac:dyDescent="0.4">
      <c r="A15" s="15" t="s">
        <v>259</v>
      </c>
      <c r="B15" s="693">
        <v>10497880.4</v>
      </c>
      <c r="C15" s="46">
        <f>SUM(C16:C25)</f>
        <v>4607427</v>
      </c>
      <c r="D15" s="46">
        <f>SUM(D16:D25)</f>
        <v>4334308</v>
      </c>
      <c r="E15" s="206" t="e">
        <f t="shared" ref="E15:E25" si="0">SUM(F15:G15)</f>
        <v>#REF!</v>
      </c>
      <c r="F15" s="535" t="e">
        <f>SUM(F16:F26)</f>
        <v>#REF!</v>
      </c>
      <c r="G15" s="535" t="e">
        <f>SUM(G16:G26)</f>
        <v>#REF!</v>
      </c>
      <c r="H15" s="47" t="e">
        <f>G15*100/C15</f>
        <v>#REF!</v>
      </c>
      <c r="I15" s="902" t="e">
        <f>C15-E15</f>
        <v>#REF!</v>
      </c>
      <c r="J15" s="921"/>
      <c r="K15" s="924" t="s">
        <v>145</v>
      </c>
      <c r="L15" s="925"/>
      <c r="M15" s="926" t="s">
        <v>81</v>
      </c>
      <c r="N15" s="927" t="s">
        <v>360</v>
      </c>
      <c r="O15" s="928" t="s">
        <v>28</v>
      </c>
      <c r="P15" s="926" t="s">
        <v>81</v>
      </c>
      <c r="Q15" s="929" t="s">
        <v>360</v>
      </c>
    </row>
    <row r="16" spans="1:19" ht="18.75" customHeight="1" x14ac:dyDescent="0.3">
      <c r="A16" s="205" t="s">
        <v>47</v>
      </c>
      <c r="B16" s="694">
        <v>1720000</v>
      </c>
      <c r="C16" s="48">
        <f>'2 จัดสรรให้ส่วนฝ่าย'!B6</f>
        <v>1959802</v>
      </c>
      <c r="D16" s="881">
        <f>450000+50000</f>
        <v>500000</v>
      </c>
      <c r="E16" s="519">
        <f t="shared" si="0"/>
        <v>140199.52000000002</v>
      </c>
      <c r="F16" s="450">
        <f>'2 จัดสรรให้ส่วนฝ่าย'!D6+'5.Crop Cutiing'!C5</f>
        <v>23512</v>
      </c>
      <c r="G16" s="76">
        <f>'2 จัดสรรให้ส่วนฝ่าย'!E6+'5.Crop Cutiing'!D5</f>
        <v>116687.52</v>
      </c>
      <c r="H16" s="63">
        <f>G16*100/C16</f>
        <v>5.9540463781545281</v>
      </c>
      <c r="I16" s="49">
        <f t="shared" ref="I16:I25" si="1">D16-E16</f>
        <v>359800.48</v>
      </c>
      <c r="J16" s="920"/>
      <c r="K16" s="898" t="s">
        <v>361</v>
      </c>
      <c r="L16" s="785" t="s">
        <v>81</v>
      </c>
      <c r="M16" s="75">
        <f>+D16</f>
        <v>500000</v>
      </c>
      <c r="N16" s="903"/>
      <c r="O16" s="909">
        <f t="shared" ref="O16:O25" si="2">SUM(M16:N16)</f>
        <v>500000</v>
      </c>
      <c r="P16" s="907">
        <f>+O16-'2 จัดสรรให้ส่วนฝ่าย'!C6</f>
        <v>359800.48</v>
      </c>
      <c r="Q16" s="901"/>
    </row>
    <row r="17" spans="1:18" ht="18.75" customHeight="1" x14ac:dyDescent="0.3">
      <c r="A17" s="205" t="s">
        <v>48</v>
      </c>
      <c r="B17" s="38">
        <v>843900</v>
      </c>
      <c r="C17" s="48">
        <f>'2 จัดสรรให้ส่วนฝ่าย'!H6</f>
        <v>14000</v>
      </c>
      <c r="D17" s="881">
        <f>772500+386300-672410-50000</f>
        <v>436390</v>
      </c>
      <c r="E17" s="207">
        <f t="shared" si="0"/>
        <v>346245.66</v>
      </c>
      <c r="F17" s="450">
        <f>'2 จัดสรรให้ส่วนฝ่าย'!J6+'4.ต้นทุน'!F5+'7.ประมาณการและติดตามภาวะ'!F5+'8.รายงานสถานการณ์โดย ศกอ.'!F5+'5.Crop Cutiing'!F5+'14.พัฒนา ศกอ.'!F5+'15.ข้อมูลกรอบตัวอย่างโดย อกม'!F5+'16.Socio'!F5+'17.ซื้อคอมทดแทน'!F5</f>
        <v>31590</v>
      </c>
      <c r="G17" s="450">
        <f>'2 จัดสรรให้ส่วนฝ่าย'!K6+'4.ต้นทุน'!G5+'7.ประมาณการและติดตามภาวะ'!G5+'8.รายงานสถานการณ์โดย ศกอ.'!G5+'5.Crop Cutiing'!G5+'14.พัฒนา ศกอ.'!G5+'15.ข้อมูลกรอบตัวอย่างโดย อกม'!G5+'16.Socio'!G5+'17.ซื้อคอมทดแทน'!G5</f>
        <v>314655.65999999997</v>
      </c>
      <c r="H17" s="64">
        <f>G17*100/C17</f>
        <v>2247.5404285714285</v>
      </c>
      <c r="I17" s="49">
        <f t="shared" si="1"/>
        <v>90144.340000000026</v>
      </c>
      <c r="J17" s="920"/>
      <c r="K17" s="898" t="s">
        <v>362</v>
      </c>
      <c r="L17" s="785" t="s">
        <v>355</v>
      </c>
      <c r="M17" s="75"/>
      <c r="N17" s="903">
        <f>+D17</f>
        <v>436390</v>
      </c>
      <c r="O17" s="909">
        <f t="shared" si="2"/>
        <v>436390</v>
      </c>
      <c r="P17" s="907"/>
      <c r="Q17" s="899">
        <f>+O17-'5.Crop Cutiing'!J5</f>
        <v>94404</v>
      </c>
    </row>
    <row r="18" spans="1:18" ht="18.75" customHeight="1" x14ac:dyDescent="0.3">
      <c r="A18" s="205" t="s">
        <v>49</v>
      </c>
      <c r="B18" s="38">
        <v>993620.4</v>
      </c>
      <c r="C18" s="48">
        <f>'2 จัดสรรให้ส่วนฝ่าย'!B39</f>
        <v>381700</v>
      </c>
      <c r="D18" s="881">
        <f>461372+43908+945</f>
        <v>506225</v>
      </c>
      <c r="E18" s="207" t="e">
        <f t="shared" si="0"/>
        <v>#REF!</v>
      </c>
      <c r="F18" s="450" t="e">
        <f>'2 จัดสรรให้ส่วนฝ่าย'!D39+'4.ต้นทุน'!C39+'7.ประมาณการและติดตามภาวะ'!C36+'8.รายงานสถานการณ์โดย ศกอ.'!C39+'5.Crop Cutiing'!C39+'14.พัฒนา ศกอ.'!C39+'15.ข้อมูลกรอบตัวอย่างโดย อกม'!C39+'16.Socio'!C39+'17.ซื้อคอมทดแทน'!C39</f>
        <v>#REF!</v>
      </c>
      <c r="G18" s="450" t="e">
        <f>'2 จัดสรรให้ส่วนฝ่าย'!E39+'4.ต้นทุน'!D39+'7.ประมาณการและติดตามภาวะ'!D36+'8.รายงานสถานการณ์โดย ศกอ.'!D39+'5.Crop Cutiing'!D39+'14.พัฒนา ศกอ.'!D39+'15.ข้อมูลกรอบตัวอย่างโดย อกม'!D39+'16.Socio'!D39+'17.ซื้อคอมทดแทน'!D39</f>
        <v>#REF!</v>
      </c>
      <c r="H18" s="64" t="e">
        <f>G18*100/C18</f>
        <v>#REF!</v>
      </c>
      <c r="I18" s="49" t="e">
        <f t="shared" si="1"/>
        <v>#REF!</v>
      </c>
      <c r="J18" s="920"/>
      <c r="K18" s="898" t="s">
        <v>363</v>
      </c>
      <c r="L18" s="785" t="s">
        <v>356</v>
      </c>
      <c r="M18" s="75">
        <v>462317</v>
      </c>
      <c r="N18" s="903">
        <v>43908</v>
      </c>
      <c r="O18" s="909">
        <f t="shared" si="2"/>
        <v>506225</v>
      </c>
      <c r="P18" s="907">
        <f>+M18-'2 จัดสรรให้ส่วนฝ่าย'!C39</f>
        <v>432949.14</v>
      </c>
      <c r="Q18" s="899">
        <f>+N18-'4.ต้นทุน'!B39</f>
        <v>43908</v>
      </c>
    </row>
    <row r="19" spans="1:18" ht="18.75" customHeight="1" x14ac:dyDescent="0.3">
      <c r="A19" s="205" t="s">
        <v>50</v>
      </c>
      <c r="B19" s="38">
        <v>668700</v>
      </c>
      <c r="C19" s="48">
        <f>'2 จัดสรรให้ส่วนฝ่าย'!H39</f>
        <v>135750</v>
      </c>
      <c r="D19" s="881">
        <f>177180+20000</f>
        <v>197180</v>
      </c>
      <c r="E19" s="207" t="e">
        <f t="shared" si="0"/>
        <v>#REF!</v>
      </c>
      <c r="F19" s="450" t="e">
        <f>'2 จัดสรรให้ส่วนฝ่าย'!J39+'4.ต้นทุน'!F39+'7.ประมาณการและติดตามภาวะ'!F36+'8.รายงานสถานการณ์โดย ศกอ.'!F39+'5.Crop Cutiing'!F39+'14.พัฒนา ศกอ.'!F39+'15.ข้อมูลกรอบตัวอย่างโดย อกม'!F39+'16.Socio'!F39+'17.ซื้อคอมทดแทน'!F39</f>
        <v>#REF!</v>
      </c>
      <c r="G19" s="450" t="e">
        <f>'2 จัดสรรให้ส่วนฝ่าย'!K39+'4.ต้นทุน'!G39+'7.ประมาณการและติดตามภาวะ'!G36+'8.รายงานสถานการณ์โดย ศกอ.'!G39+'5.Crop Cutiing'!G39+'14.พัฒนา ศกอ.'!G39+'15.ข้อมูลกรอบตัวอย่างโดย อกม'!G39+'16.Socio'!G39+'17.ซื้อคอมทดแทน'!G39</f>
        <v>#REF!</v>
      </c>
      <c r="H19" s="64" t="e">
        <f t="shared" ref="H19:H25" si="3">G19*100/C19</f>
        <v>#REF!</v>
      </c>
      <c r="I19" s="49" t="e">
        <f t="shared" si="1"/>
        <v>#REF!</v>
      </c>
      <c r="J19" s="920"/>
      <c r="K19" s="898" t="s">
        <v>364</v>
      </c>
      <c r="L19" s="785" t="s">
        <v>357</v>
      </c>
      <c r="M19" s="75">
        <v>177180</v>
      </c>
      <c r="N19" s="903">
        <v>20000</v>
      </c>
      <c r="O19" s="909">
        <f t="shared" si="2"/>
        <v>197180</v>
      </c>
      <c r="P19" s="907">
        <f>+M19-'2 จัดสรรให้ส่วนฝ่าย'!I39</f>
        <v>159915</v>
      </c>
      <c r="Q19" s="930">
        <f>+N19-'7.ประมาณการและติดตามภาวะ'!E36</f>
        <v>20000</v>
      </c>
      <c r="R19" s="3" t="s">
        <v>376</v>
      </c>
    </row>
    <row r="20" spans="1:18" ht="18.75" customHeight="1" x14ac:dyDescent="0.3">
      <c r="A20" s="205" t="s">
        <v>54</v>
      </c>
      <c r="B20" s="75">
        <v>1425700</v>
      </c>
      <c r="C20" s="581">
        <f>'2 จัดสรรให้ส่วนฝ่าย'!B69</f>
        <v>499800</v>
      </c>
      <c r="D20" s="881">
        <v>451980</v>
      </c>
      <c r="E20" s="208" t="e">
        <f t="shared" si="0"/>
        <v>#REF!</v>
      </c>
      <c r="F20" s="75" t="e">
        <f>'2 จัดสรรให้ส่วนฝ่าย'!D69+'4.ต้นทุน'!C76+'7.ประมาณการและติดตามภาวะ'!C70+'8.รายงานสถานการณ์โดย ศกอ.'!C76+'5.Crop Cutiing'!C76+'14.พัฒนา ศกอ.'!C76+'15.ข้อมูลกรอบตัวอย่างโดย อกม'!C76+'16.Socio'!C76+'17.ซื้อคอมทดแทน'!C76</f>
        <v>#REF!</v>
      </c>
      <c r="G20" s="75" t="e">
        <f>'2 จัดสรรให้ส่วนฝ่าย'!E69+'4.ต้นทุน'!D76+'7.ประมาณการและติดตามภาวะ'!D70+'8.รายงานสถานการณ์โดย ศกอ.'!D76+'5.Crop Cutiing'!D76+'14.พัฒนา ศกอ.'!D76+'15.ข้อมูลกรอบตัวอย่างโดย อกม'!D76+'16.Socio'!D76+'17.ซื้อคอมทดแทน'!D76</f>
        <v>#REF!</v>
      </c>
      <c r="H20" s="76" t="e">
        <f t="shared" si="3"/>
        <v>#REF!</v>
      </c>
      <c r="I20" s="77" t="e">
        <f t="shared" si="1"/>
        <v>#REF!</v>
      </c>
      <c r="J20" s="920"/>
      <c r="K20" s="898" t="s">
        <v>365</v>
      </c>
      <c r="L20" s="785" t="s">
        <v>291</v>
      </c>
      <c r="M20" s="904">
        <f>+D20</f>
        <v>451980</v>
      </c>
      <c r="N20" s="905"/>
      <c r="O20" s="909">
        <f t="shared" si="2"/>
        <v>451980</v>
      </c>
      <c r="P20" s="907">
        <f>+O20-'2 จัดสรรให้ส่วนฝ่าย'!C69</f>
        <v>287300</v>
      </c>
      <c r="Q20" s="901"/>
    </row>
    <row r="21" spans="1:18" ht="18.75" customHeight="1" x14ac:dyDescent="0.3">
      <c r="A21" s="205" t="s">
        <v>53</v>
      </c>
      <c r="B21" s="38">
        <v>556680</v>
      </c>
      <c r="C21" s="48">
        <f>'2 จัดสรรให้ส่วนฝ่าย'!H69</f>
        <v>622075</v>
      </c>
      <c r="D21" s="881">
        <v>331755</v>
      </c>
      <c r="E21" s="207">
        <f t="shared" si="0"/>
        <v>160088</v>
      </c>
      <c r="F21" s="75">
        <f>'2 จัดสรรให้ส่วนฝ่าย'!J69+'4.ต้นทุน'!F76+'7.ประมาณการและติดตามภาวะ'!F70+'8.รายงานสถานการณ์โดย ศกอ.'!F76+'5.Crop Cutiing'!F76+'14.พัฒนา ศกอ.'!F76+'15.ข้อมูลกรอบตัวอย่างโดย อกม'!F76+'16.Socio'!F76+'17.ซื้อคอมทดแทน'!F76</f>
        <v>0</v>
      </c>
      <c r="G21" s="75">
        <f>'2 จัดสรรให้ส่วนฝ่าย'!K69+'4.ต้นทุน'!G76+'7.ประมาณการและติดตามภาวะ'!G70+'8.รายงานสถานการณ์โดย ศกอ.'!G76+'5.Crop Cutiing'!G76+'14.พัฒนา ศกอ.'!G76+'15.ข้อมูลกรอบตัวอย่างโดย อกม'!G76+'16.Socio'!G76+'17.ซื้อคอมทดแทน'!G76</f>
        <v>160088</v>
      </c>
      <c r="H21" s="64">
        <f t="shared" si="3"/>
        <v>25.734517542097013</v>
      </c>
      <c r="I21" s="49">
        <f t="shared" si="1"/>
        <v>171667</v>
      </c>
      <c r="J21" s="920"/>
      <c r="K21" s="898" t="s">
        <v>366</v>
      </c>
      <c r="L21" s="785" t="s">
        <v>291</v>
      </c>
      <c r="M21" s="75">
        <f>+D21</f>
        <v>331755</v>
      </c>
      <c r="N21" s="903"/>
      <c r="O21" s="909">
        <f t="shared" si="2"/>
        <v>331755</v>
      </c>
      <c r="P21" s="907">
        <f>+O21-'2 จัดสรรให้ส่วนฝ่าย'!I69</f>
        <v>171667</v>
      </c>
      <c r="Q21" s="901"/>
    </row>
    <row r="22" spans="1:18" ht="18.75" customHeight="1" x14ac:dyDescent="0.3">
      <c r="A22" s="205" t="s">
        <v>51</v>
      </c>
      <c r="B22" s="38">
        <v>280000</v>
      </c>
      <c r="C22" s="48">
        <f>'2 จัดสรรให้ส่วนฝ่าย'!B99</f>
        <v>213000</v>
      </c>
      <c r="D22" s="881">
        <f>109200+171800+74240</f>
        <v>355240</v>
      </c>
      <c r="E22" s="207" t="e">
        <f t="shared" si="0"/>
        <v>#REF!</v>
      </c>
      <c r="F22" s="450" t="e">
        <f>'2 จัดสรรให้ส่วนฝ่าย'!D99+'4.ต้นทุน'!C113+'7.ประมาณการและติดตามภาวะ'!C104+'8.รายงานสถานการณ์โดย ศกอ.'!C113+'5.Crop Cutiing'!C113+'14.พัฒนา ศกอ.'!C113+'15.ข้อมูลกรอบตัวอย่างโดย อกม'!C113+'16.Socio'!C113+'17.ซื้อคอมทดแทน'!C117</f>
        <v>#REF!</v>
      </c>
      <c r="G22" s="450" t="e">
        <f>'2 จัดสรรให้ส่วนฝ่าย'!E99+'4.ต้นทุน'!D113+'7.ประมาณการและติดตามภาวะ'!D104+'8.รายงานสถานการณ์โดย ศกอ.'!D113+'5.Crop Cutiing'!D113+'14.พัฒนา ศกอ.'!D113+'15.ข้อมูลกรอบตัวอย่างโดย อกม'!D113+'16.Socio'!D113+'17.ซื้อคอมทดแทน'!D117</f>
        <v>#REF!</v>
      </c>
      <c r="H22" s="64" t="e">
        <f t="shared" si="3"/>
        <v>#REF!</v>
      </c>
      <c r="I22" s="49" t="e">
        <f t="shared" si="1"/>
        <v>#REF!</v>
      </c>
      <c r="J22" s="920"/>
      <c r="K22" s="898" t="s">
        <v>367</v>
      </c>
      <c r="L22" s="785" t="s">
        <v>358</v>
      </c>
      <c r="M22" s="75">
        <v>57200</v>
      </c>
      <c r="N22" s="903">
        <f>171800+74240</f>
        <v>246040</v>
      </c>
      <c r="O22" s="909">
        <f t="shared" si="2"/>
        <v>303240</v>
      </c>
      <c r="P22" s="908">
        <f>+M22-'2 จัดสรรให้ส่วนฝ่าย'!C99</f>
        <v>43960</v>
      </c>
      <c r="Q22" s="899">
        <f>+N22-'8.รายงานสถานการณ์โดย ศกอ.'!B113</f>
        <v>246040</v>
      </c>
      <c r="R22" s="3" t="s">
        <v>375</v>
      </c>
    </row>
    <row r="23" spans="1:18" ht="18.75" customHeight="1" x14ac:dyDescent="0.3">
      <c r="A23" s="205" t="s">
        <v>55</v>
      </c>
      <c r="B23" s="38">
        <v>741920</v>
      </c>
      <c r="C23" s="48">
        <f>'2 จัดสรรให้ส่วนฝ่าย'!H99</f>
        <v>221200</v>
      </c>
      <c r="D23" s="881">
        <f>262680+185800</f>
        <v>448480</v>
      </c>
      <c r="E23" s="207" t="e">
        <f t="shared" si="0"/>
        <v>#REF!</v>
      </c>
      <c r="F23" s="450" t="e">
        <f>'2 จัดสรรให้ส่วนฝ่าย'!J99+'4.ต้นทุน'!F113+'7.ประมาณการและติดตามภาวะ'!F104+'8.รายงานสถานการณ์โดย ศกอ.'!F113+'5.Crop Cutiing'!F113+'14.พัฒนา ศกอ.'!F113+'15.ข้อมูลกรอบตัวอย่างโดย อกม'!F113+'16.Socio'!F113+'17.ซื้อคอมทดแทน'!F117</f>
        <v>#REF!</v>
      </c>
      <c r="G23" s="450" t="e">
        <f>'2 จัดสรรให้ส่วนฝ่าย'!K99+'4.ต้นทุน'!G113+'7.ประมาณการและติดตามภาวะ'!G104+'8.รายงานสถานการณ์โดย ศกอ.'!G113+'5.Crop Cutiing'!G113+'14.พัฒนา ศกอ.'!G113+'15.ข้อมูลกรอบตัวอย่างโดย อกม'!G113+'16.Socio'!G113+'17.ซื้อคอมทดแทน'!G117</f>
        <v>#REF!</v>
      </c>
      <c r="H23" s="64" t="e">
        <f t="shared" si="3"/>
        <v>#REF!</v>
      </c>
      <c r="I23" s="49" t="e">
        <f t="shared" si="1"/>
        <v>#REF!</v>
      </c>
      <c r="J23" s="920"/>
      <c r="K23" s="898" t="s">
        <v>368</v>
      </c>
      <c r="L23" s="785" t="s">
        <v>359</v>
      </c>
      <c r="M23" s="75">
        <v>262680</v>
      </c>
      <c r="N23" s="903">
        <v>185800</v>
      </c>
      <c r="O23" s="909">
        <f t="shared" si="2"/>
        <v>448480</v>
      </c>
      <c r="P23" s="907">
        <f>+M23-'2 จัดสรรให้ส่วนฝ่าย'!I99</f>
        <v>248462</v>
      </c>
      <c r="Q23" s="899">
        <f>+N23-'7.ประมาณการและติดตามภาวะ'!E104</f>
        <v>185800</v>
      </c>
    </row>
    <row r="24" spans="1:18" ht="18.75" customHeight="1" x14ac:dyDescent="0.3">
      <c r="A24" s="18" t="s">
        <v>52</v>
      </c>
      <c r="B24" s="38">
        <v>2302360</v>
      </c>
      <c r="C24" s="48">
        <f>'2 จัดสรรให้ส่วนฝ่าย'!B129</f>
        <v>80100</v>
      </c>
      <c r="D24" s="881">
        <f>372117+254921-945</f>
        <v>626093</v>
      </c>
      <c r="E24" s="207" t="e">
        <f t="shared" si="0"/>
        <v>#REF!</v>
      </c>
      <c r="F24" s="450" t="e">
        <f>'2 จัดสรรให้ส่วนฝ่าย'!D129+'4.ต้นทุน'!C150+'7.ประมาณการและติดตามภาวะ'!C137+'8.รายงานสถานการณ์โดย ศกอ.'!C150+'5.Crop Cutiing'!C150+'14.พัฒนา ศกอ.'!C150+'15.ข้อมูลกรอบตัวอย่างโดย อกม'!C150+'16.Socio'!C150+'17.ซื้อคอมทดแทน'!C154</f>
        <v>#REF!</v>
      </c>
      <c r="G24" s="450" t="e">
        <f>'2 จัดสรรให้ส่วนฝ่าย'!E129+'4.ต้นทุน'!D150+'7.ประมาณการและติดตามภาวะ'!D137+'8.รายงานสถานการณ์โดย ศกอ.'!D150+'5.Crop Cutiing'!D150+'14.พัฒนา ศกอ.'!D150+'15.ข้อมูลกรอบตัวอย่างโดย อกม'!D150+'16.Socio'!D150+'17.ซื้อคอมทดแทน'!D154</f>
        <v>#REF!</v>
      </c>
      <c r="H24" s="64" t="e">
        <f t="shared" si="3"/>
        <v>#REF!</v>
      </c>
      <c r="I24" s="49" t="e">
        <f t="shared" si="1"/>
        <v>#REF!</v>
      </c>
      <c r="J24" s="920"/>
      <c r="K24" s="898" t="s">
        <v>369</v>
      </c>
      <c r="L24" s="785" t="s">
        <v>372</v>
      </c>
      <c r="M24" s="75">
        <v>371172</v>
      </c>
      <c r="N24" s="906">
        <v>254921</v>
      </c>
      <c r="O24" s="909">
        <f t="shared" si="2"/>
        <v>626093</v>
      </c>
      <c r="P24" s="907">
        <f>+M24-'2 จัดสรรให้ส่วนฝ่าย'!C129</f>
        <v>360473.64</v>
      </c>
      <c r="Q24" s="899" t="e">
        <f>+N24-'15.ข้อมูลกรอบตัวอย่างโดย อกม'!D150</f>
        <v>#REF!</v>
      </c>
    </row>
    <row r="25" spans="1:18" ht="18.75" customHeight="1" x14ac:dyDescent="0.3">
      <c r="A25" s="205" t="s">
        <v>56</v>
      </c>
      <c r="B25" s="38">
        <v>965000</v>
      </c>
      <c r="C25" s="48">
        <f>'2 จัดสรรให้ส่วนฝ่าย'!H129</f>
        <v>480000</v>
      </c>
      <c r="D25" s="881">
        <f>492585-11620</f>
        <v>480965</v>
      </c>
      <c r="E25" s="207">
        <f t="shared" si="0"/>
        <v>6843.5</v>
      </c>
      <c r="F25" s="450">
        <f>'2 จัดสรรให้ส่วนฝ่าย'!J129+'4.ต้นทุน'!F150+'7.ประมาณการและติดตามภาวะ'!F137+'8.รายงานสถานการณ์โดย ศกอ.'!F150+'5.Crop Cutiing'!F150+'14.พัฒนา ศกอ.'!F150+'15.ข้อมูลกรอบตัวอย่างโดย อกม'!F150+'16.Socio'!F150+'17.ซื้อคอมทดแทน'!F154</f>
        <v>0</v>
      </c>
      <c r="G25" s="450">
        <f>'2 จัดสรรให้ส่วนฝ่าย'!K129+'4.ต้นทุน'!G150+'7.ประมาณการและติดตามภาวะ'!G137+'8.รายงานสถานการณ์โดย ศกอ.'!G150+'5.Crop Cutiing'!G150+'14.พัฒนา ศกอ.'!G150+'15.ข้อมูลกรอบตัวอย่างโดย อกม'!G150+'16.Socio'!G150+'17.ซื้อคอมทดแทน'!G154</f>
        <v>6843.5</v>
      </c>
      <c r="H25" s="64">
        <f t="shared" si="3"/>
        <v>1.4257291666666667</v>
      </c>
      <c r="I25" s="49">
        <f t="shared" si="1"/>
        <v>474121.5</v>
      </c>
      <c r="J25" s="920"/>
      <c r="K25" s="898" t="s">
        <v>370</v>
      </c>
      <c r="L25" s="785" t="s">
        <v>81</v>
      </c>
      <c r="M25" s="75">
        <f>+D25</f>
        <v>480965</v>
      </c>
      <c r="N25" s="903"/>
      <c r="O25" s="909">
        <f t="shared" si="2"/>
        <v>480965</v>
      </c>
      <c r="P25" s="907">
        <f>+M25-'2 จัดสรรให้ส่วนฝ่าย'!I129</f>
        <v>474506.5</v>
      </c>
      <c r="Q25" s="901"/>
    </row>
    <row r="26" spans="1:18" ht="9.75" customHeight="1" x14ac:dyDescent="0.3">
      <c r="A26" s="205"/>
      <c r="B26" s="695"/>
      <c r="C26" s="48"/>
      <c r="D26" s="843"/>
      <c r="E26" s="207"/>
      <c r="F26" s="450"/>
      <c r="G26" s="75"/>
      <c r="H26" s="64"/>
      <c r="I26" s="49"/>
      <c r="J26" s="920"/>
      <c r="K26" s="900"/>
      <c r="L26" s="785"/>
      <c r="M26" s="75"/>
      <c r="N26" s="903"/>
      <c r="O26" s="505"/>
      <c r="P26" s="494"/>
      <c r="Q26" s="901"/>
    </row>
    <row r="27" spans="1:18" s="17" customFormat="1" ht="19.5" customHeight="1" thickBot="1" x14ac:dyDescent="0.35">
      <c r="A27" s="15" t="s">
        <v>260</v>
      </c>
      <c r="B27" s="696">
        <v>11127000</v>
      </c>
      <c r="C27" s="820">
        <f>'3 จัดสรรเพื่อบริหาร'!C6</f>
        <v>14805373</v>
      </c>
      <c r="D27" s="844">
        <f>+C27</f>
        <v>14805373</v>
      </c>
      <c r="E27" s="832">
        <f>SUM(F27:G27)</f>
        <v>3031736.55</v>
      </c>
      <c r="F27" s="536">
        <f>'3 จัดสรรเพื่อบริหาร'!D6+'4.ต้นทุน'!C5+'7.ประมาณการและติดตามภาวะ'!C5+'8.รายงานสถานการณ์โดย ศกอ.'!C5+'5.Crop Cutiing'!C5+'14.พัฒนา ศกอ.'!C5+'15.ข้อมูลกรอบตัวอย่างโดย อกม'!C5+'16.Socio'!C5+'17.ซื้อคอมทดแทน'!C5</f>
        <v>1406640.55</v>
      </c>
      <c r="G27" s="536">
        <f>'3 จัดสรรเพื่อบริหาร'!E6+'4.ต้นทุน'!D5+'7.ประมาณการและติดตามภาวะ'!D5+'8.รายงานสถานการณ์โดย ศกอ.'!D5+'5.Crop Cutiing'!D5+'14.พัฒนา ศกอ.'!D5+'15.ข้อมูลกรอบตัวอย่างโดย อกม'!D5+'16.Socio'!D5+'17.ซื้อคอมทดแทน'!D5</f>
        <v>1625096</v>
      </c>
      <c r="H27" s="51">
        <f>G27*100/C27</f>
        <v>10.976393502548028</v>
      </c>
      <c r="I27" s="52">
        <f>D27-E27</f>
        <v>11773636.449999999</v>
      </c>
      <c r="J27" s="922"/>
      <c r="K27" s="910" t="s">
        <v>371</v>
      </c>
      <c r="L27" s="785"/>
      <c r="M27" s="533">
        <f>+D31</f>
        <v>180000</v>
      </c>
      <c r="N27" s="75"/>
      <c r="O27" s="911">
        <f>+M27</f>
        <v>180000</v>
      </c>
      <c r="P27" s="912">
        <f>+M27-'2 จัดสรรให้ส่วนฝ่าย'!C157</f>
        <v>145236</v>
      </c>
      <c r="Q27" s="505"/>
    </row>
    <row r="28" spans="1:18" s="17" customFormat="1" ht="7.5" customHeight="1" x14ac:dyDescent="0.3">
      <c r="A28" s="15"/>
      <c r="B28" s="696"/>
      <c r="C28" s="50"/>
      <c r="D28" s="845"/>
      <c r="E28" s="833"/>
      <c r="F28" s="537"/>
      <c r="G28" s="538"/>
      <c r="H28" s="51"/>
      <c r="I28" s="53"/>
      <c r="J28" s="922"/>
      <c r="K28" s="913"/>
      <c r="L28" s="914"/>
      <c r="M28" s="914"/>
      <c r="N28" s="914"/>
      <c r="O28" s="915"/>
      <c r="P28" s="915"/>
      <c r="Q28" s="915"/>
    </row>
    <row r="29" spans="1:18" s="17" customFormat="1" ht="19.5" customHeight="1" thickBot="1" x14ac:dyDescent="0.35">
      <c r="A29" s="850" t="s">
        <v>261</v>
      </c>
      <c r="B29" s="696">
        <v>3855500</v>
      </c>
      <c r="C29" s="50">
        <f>'3 จัดสรรเพื่อบริหาร'!C28</f>
        <v>0</v>
      </c>
      <c r="D29" s="845">
        <f>+C29</f>
        <v>0</v>
      </c>
      <c r="E29" s="834">
        <f>SUM(F29:G29)</f>
        <v>0</v>
      </c>
      <c r="F29" s="365">
        <f>'3 จัดสรรเพื่อบริหาร'!D28</f>
        <v>0</v>
      </c>
      <c r="G29" s="365">
        <f>'3 จัดสรรเพื่อบริหาร'!E28</f>
        <v>0</v>
      </c>
      <c r="H29" s="51" t="e">
        <f>G29*100/C29</f>
        <v>#DIV/0!</v>
      </c>
      <c r="I29" s="52">
        <f>D29-E29</f>
        <v>0</v>
      </c>
      <c r="J29" s="922"/>
      <c r="K29" s="916"/>
      <c r="L29" s="917"/>
      <c r="M29" s="918">
        <f>SUM(M16:M27)</f>
        <v>3275249</v>
      </c>
      <c r="N29" s="918">
        <f>SUM(N16:N27)</f>
        <v>1187059</v>
      </c>
      <c r="O29" s="918">
        <f>SUM(O16:O27)</f>
        <v>4462308</v>
      </c>
      <c r="P29" s="918">
        <f>+P16+P18+P19+P20+P21+P23+P24+P25+P27</f>
        <v>2640309.7600000002</v>
      </c>
      <c r="Q29" s="918">
        <f>+Q17+Q18+Q22+Q23</f>
        <v>570152</v>
      </c>
    </row>
    <row r="30" spans="1:18" s="17" customFormat="1" ht="13.5" customHeight="1" x14ac:dyDescent="0.3">
      <c r="A30" s="15"/>
      <c r="B30" s="696"/>
      <c r="C30" s="50"/>
      <c r="D30" s="845"/>
      <c r="E30" s="834"/>
      <c r="F30" s="453"/>
      <c r="G30" s="365"/>
      <c r="H30" s="51"/>
      <c r="I30" s="53"/>
      <c r="J30" s="922"/>
      <c r="K30" s="887"/>
      <c r="L30" s="786"/>
      <c r="M30" s="786"/>
      <c r="N30" s="825"/>
      <c r="O30" s="16"/>
    </row>
    <row r="31" spans="1:18" s="30" customFormat="1" ht="36" customHeight="1" x14ac:dyDescent="0.5">
      <c r="A31" s="848" t="s">
        <v>342</v>
      </c>
      <c r="B31" s="697">
        <v>0</v>
      </c>
      <c r="C31" s="44">
        <f>'2 จัดสรรให้ส่วนฝ่าย'!B157</f>
        <v>170000</v>
      </c>
      <c r="D31" s="883">
        <v>180000</v>
      </c>
      <c r="E31" s="361">
        <f t="shared" ref="E31:E36" si="4">SUM(F31:G31)</f>
        <v>34764</v>
      </c>
      <c r="F31" s="451">
        <f>'2 จัดสรรให้ส่วนฝ่าย'!D157</f>
        <v>0</v>
      </c>
      <c r="G31" s="451">
        <f>'2 จัดสรรให้ส่วนฝ่าย'!E157</f>
        <v>34764</v>
      </c>
      <c r="H31" s="348">
        <f t="shared" ref="H31:H36" si="5">G31*100/C31</f>
        <v>20.449411764705882</v>
      </c>
      <c r="I31" s="360">
        <f>D31-E31</f>
        <v>145236</v>
      </c>
      <c r="J31" s="361"/>
      <c r="K31" s="361"/>
      <c r="L31" s="882"/>
      <c r="M31" s="705"/>
      <c r="N31" s="894"/>
      <c r="O31" s="897"/>
    </row>
    <row r="32" spans="1:18" s="30" customFormat="1" ht="17.25" hidden="1" customHeight="1" x14ac:dyDescent="0.5">
      <c r="A32" s="209" t="s">
        <v>242</v>
      </c>
      <c r="B32" s="698"/>
      <c r="C32" s="210"/>
      <c r="D32" s="846"/>
      <c r="E32" s="363">
        <f t="shared" si="4"/>
        <v>0</v>
      </c>
      <c r="F32" s="452"/>
      <c r="G32" s="364"/>
      <c r="H32" s="349" t="e">
        <f t="shared" si="5"/>
        <v>#DIV/0!</v>
      </c>
      <c r="I32" s="210">
        <f>C32-E32</f>
        <v>0</v>
      </c>
      <c r="J32" s="363"/>
      <c r="K32" s="363"/>
      <c r="L32" s="705"/>
      <c r="M32" s="705"/>
      <c r="N32" s="894"/>
    </row>
    <row r="33" spans="1:18" s="30" customFormat="1" ht="17.25" hidden="1" customHeight="1" x14ac:dyDescent="0.5">
      <c r="A33" s="209" t="s">
        <v>243</v>
      </c>
      <c r="B33" s="698"/>
      <c r="C33" s="210"/>
      <c r="D33" s="846"/>
      <c r="E33" s="363">
        <f t="shared" si="4"/>
        <v>0</v>
      </c>
      <c r="F33" s="452"/>
      <c r="G33" s="364"/>
      <c r="H33" s="349" t="e">
        <f t="shared" si="5"/>
        <v>#DIV/0!</v>
      </c>
      <c r="I33" s="210">
        <f>C33-E33</f>
        <v>0</v>
      </c>
      <c r="J33" s="363"/>
      <c r="K33" s="363"/>
      <c r="L33" s="705"/>
      <c r="M33" s="705"/>
      <c r="N33" s="894"/>
    </row>
    <row r="34" spans="1:18" s="30" customFormat="1" ht="17.25" hidden="1" customHeight="1" x14ac:dyDescent="0.5">
      <c r="A34" s="209" t="s">
        <v>247</v>
      </c>
      <c r="B34" s="698"/>
      <c r="C34" s="210"/>
      <c r="D34" s="846"/>
      <c r="E34" s="363">
        <f t="shared" si="4"/>
        <v>0</v>
      </c>
      <c r="F34" s="452"/>
      <c r="G34" s="364"/>
      <c r="H34" s="349" t="e">
        <f t="shared" si="5"/>
        <v>#DIV/0!</v>
      </c>
      <c r="I34" s="210">
        <f>C34-E34</f>
        <v>0</v>
      </c>
      <c r="J34" s="363"/>
      <c r="K34" s="363"/>
      <c r="L34" s="705"/>
      <c r="M34" s="705"/>
      <c r="N34" s="894"/>
    </row>
    <row r="35" spans="1:18" s="30" customFormat="1" ht="17.25" hidden="1" customHeight="1" x14ac:dyDescent="0.5">
      <c r="A35" s="209" t="s">
        <v>248</v>
      </c>
      <c r="B35" s="698"/>
      <c r="C35" s="210"/>
      <c r="D35" s="846"/>
      <c r="E35" s="363">
        <f t="shared" si="4"/>
        <v>0</v>
      </c>
      <c r="F35" s="452"/>
      <c r="G35" s="364"/>
      <c r="H35" s="349" t="e">
        <f t="shared" si="5"/>
        <v>#DIV/0!</v>
      </c>
      <c r="I35" s="210">
        <f>C35-E35</f>
        <v>0</v>
      </c>
      <c r="J35" s="363"/>
      <c r="K35" s="363"/>
      <c r="L35" s="705"/>
      <c r="M35" s="705"/>
      <c r="N35" s="894"/>
    </row>
    <row r="36" spans="1:18" s="30" customFormat="1" ht="17.25" hidden="1" customHeight="1" x14ac:dyDescent="0.5">
      <c r="A36" s="209" t="s">
        <v>249</v>
      </c>
      <c r="B36" s="698"/>
      <c r="C36" s="210"/>
      <c r="D36" s="846"/>
      <c r="E36" s="363">
        <f t="shared" si="4"/>
        <v>0</v>
      </c>
      <c r="F36" s="452"/>
      <c r="G36" s="364"/>
      <c r="H36" s="349" t="e">
        <f t="shared" si="5"/>
        <v>#DIV/0!</v>
      </c>
      <c r="I36" s="210">
        <f>C36-E36</f>
        <v>0</v>
      </c>
      <c r="J36" s="363"/>
      <c r="K36" s="363"/>
      <c r="L36" s="705"/>
      <c r="M36" s="705"/>
      <c r="N36" s="894"/>
    </row>
    <row r="37" spans="1:18" s="30" customFormat="1" ht="13.5" hidden="1" customHeight="1" x14ac:dyDescent="0.5">
      <c r="A37" s="209"/>
      <c r="B37" s="698"/>
      <c r="C37" s="210"/>
      <c r="D37" s="846"/>
      <c r="E37" s="363"/>
      <c r="F37" s="452"/>
      <c r="G37" s="364"/>
      <c r="H37" s="349"/>
      <c r="I37" s="210"/>
      <c r="J37" s="363"/>
      <c r="K37" s="363"/>
      <c r="L37" s="705"/>
      <c r="M37" s="705"/>
      <c r="N37" s="894"/>
    </row>
    <row r="38" spans="1:18" s="17" customFormat="1" ht="19.5" customHeight="1" x14ac:dyDescent="0.3">
      <c r="A38" s="15" t="s">
        <v>283</v>
      </c>
      <c r="B38" s="696">
        <v>-4074650.4000000004</v>
      </c>
      <c r="C38" s="54" t="e">
        <f>C14-C15-C27-C29-C31</f>
        <v>#REF!</v>
      </c>
      <c r="D38" s="54">
        <f>D14-D15-D27-D29-D31</f>
        <v>-4709936</v>
      </c>
      <c r="E38" s="835"/>
      <c r="F38" s="453"/>
      <c r="G38" s="365"/>
      <c r="H38" s="51"/>
      <c r="I38" s="53">
        <f>D38-E38</f>
        <v>-4709936</v>
      </c>
      <c r="J38" s="922"/>
      <c r="K38" s="887"/>
      <c r="L38" s="555"/>
      <c r="M38" s="661"/>
      <c r="N38" s="787"/>
    </row>
    <row r="39" spans="1:18" s="17" customFormat="1" ht="8.25" customHeight="1" x14ac:dyDescent="0.3">
      <c r="A39" s="21"/>
      <c r="B39" s="695"/>
      <c r="C39" s="55"/>
      <c r="D39" s="847"/>
      <c r="E39" s="836"/>
      <c r="F39" s="450"/>
      <c r="G39" s="75"/>
      <c r="H39" s="56"/>
      <c r="I39" s="53"/>
      <c r="J39" s="922"/>
      <c r="K39" s="887"/>
      <c r="L39" s="786"/>
      <c r="M39" s="786"/>
      <c r="N39" s="825"/>
    </row>
    <row r="40" spans="1:18" s="24" customFormat="1" ht="19.5" customHeight="1" thickBot="1" x14ac:dyDescent="0.55000000000000004">
      <c r="A40" s="22" t="s">
        <v>28</v>
      </c>
      <c r="B40" s="699">
        <v>21405730</v>
      </c>
      <c r="C40" s="57" t="e">
        <f>C14</f>
        <v>#REF!</v>
      </c>
      <c r="D40" s="879">
        <f>D14</f>
        <v>14609745</v>
      </c>
      <c r="E40" s="837" t="e">
        <f>SUM(F40:G40)</f>
        <v>#REF!</v>
      </c>
      <c r="F40" s="539" t="e">
        <f>F14</f>
        <v>#REF!</v>
      </c>
      <c r="G40" s="539" t="e">
        <f>G14</f>
        <v>#REF!</v>
      </c>
      <c r="H40" s="58" t="e">
        <f>G40*100/C40</f>
        <v>#REF!</v>
      </c>
      <c r="I40" s="59" t="e">
        <f>D40-E40</f>
        <v>#REF!</v>
      </c>
      <c r="J40" s="923"/>
      <c r="K40" s="888"/>
      <c r="L40" s="788"/>
      <c r="M40" s="61"/>
      <c r="N40" s="895"/>
      <c r="R40" s="582"/>
    </row>
    <row r="41" spans="1:18" s="24" customFormat="1" ht="13.5" customHeight="1" thickTop="1" x14ac:dyDescent="0.5">
      <c r="B41" s="700"/>
      <c r="C41" s="359"/>
      <c r="D41" s="359"/>
      <c r="E41" s="60"/>
      <c r="F41" s="540"/>
      <c r="G41" s="60"/>
      <c r="H41" s="61"/>
      <c r="I41" s="62"/>
      <c r="J41" s="62"/>
      <c r="K41" s="689"/>
      <c r="L41" s="789"/>
      <c r="M41" s="891"/>
      <c r="N41" s="895"/>
    </row>
    <row r="42" spans="1:18" s="24" customFormat="1" ht="19.5" customHeight="1" x14ac:dyDescent="0.25">
      <c r="B42" s="701"/>
      <c r="C42" s="36" t="s">
        <v>69</v>
      </c>
      <c r="D42" s="36" t="s">
        <v>343</v>
      </c>
      <c r="E42" s="36" t="s">
        <v>110</v>
      </c>
      <c r="F42" s="541" t="s">
        <v>16</v>
      </c>
      <c r="G42" s="542"/>
      <c r="H42" s="6"/>
      <c r="I42" s="6"/>
      <c r="J42" s="6"/>
      <c r="K42" s="6"/>
      <c r="L42" s="789"/>
      <c r="M42" s="892"/>
      <c r="N42" s="895"/>
      <c r="R42" s="583"/>
    </row>
    <row r="43" spans="1:18" s="24" customFormat="1" ht="19.5" customHeight="1" x14ac:dyDescent="0.25">
      <c r="A43" s="3128" t="s">
        <v>262</v>
      </c>
      <c r="B43" s="3129"/>
      <c r="C43" s="71">
        <f>'5สรุปรายงบ (66 พลางก่อน)'!B8</f>
        <v>16682300</v>
      </c>
      <c r="D43" s="71">
        <f>+'1สรุปรายงบ (2)'!C7</f>
        <v>25171450</v>
      </c>
      <c r="E43" s="852">
        <f>+'1สรุปรายงบ (2)'!F7</f>
        <v>6315942</v>
      </c>
      <c r="F43" s="543">
        <f t="shared" ref="F43:F49" si="6">+D43-E43</f>
        <v>18855508</v>
      </c>
      <c r="G43" s="544"/>
      <c r="H43" s="23"/>
      <c r="I43" s="23"/>
      <c r="J43" s="23"/>
      <c r="K43" s="712"/>
      <c r="L43" s="789"/>
      <c r="M43" s="891"/>
      <c r="N43" s="895"/>
    </row>
    <row r="44" spans="1:18" s="24" customFormat="1" ht="19.5" customHeight="1" x14ac:dyDescent="0.25">
      <c r="A44" s="3128" t="s">
        <v>263</v>
      </c>
      <c r="B44" s="3129"/>
      <c r="C44" s="34" t="e">
        <f>SUM(C45:C49)</f>
        <v>#REF!</v>
      </c>
      <c r="D44" s="34">
        <f>SUM(D45:D49)</f>
        <v>12831500</v>
      </c>
      <c r="E44" s="834">
        <f>SUM(E45:E49)</f>
        <v>10649223</v>
      </c>
      <c r="F44" s="453">
        <f t="shared" si="6"/>
        <v>2182277</v>
      </c>
      <c r="G44" s="544"/>
      <c r="H44" s="23"/>
      <c r="I44" s="23"/>
      <c r="J44" s="23"/>
      <c r="K44" s="712"/>
      <c r="L44" s="789"/>
      <c r="M44" s="891"/>
      <c r="N44" s="895"/>
      <c r="O44" s="584"/>
    </row>
    <row r="45" spans="1:18" s="24" customFormat="1" ht="19.5" customHeight="1" x14ac:dyDescent="0.25">
      <c r="A45" s="3133" t="s">
        <v>264</v>
      </c>
      <c r="B45" s="3134"/>
      <c r="C45" s="38">
        <f>'5สรุปรายงบ (66 พลางก่อน)'!B22</f>
        <v>1464400</v>
      </c>
      <c r="D45" s="38">
        <f>+'1สรุปรายงบ (2)'!C9</f>
        <v>3750000</v>
      </c>
      <c r="E45" s="65">
        <f>+'1สรุปรายงบ (2)'!F9</f>
        <v>3468492</v>
      </c>
      <c r="F45" s="453">
        <f t="shared" si="6"/>
        <v>281508</v>
      </c>
      <c r="G45" s="545"/>
      <c r="H45" s="448"/>
      <c r="I45" s="23"/>
      <c r="J45" s="23"/>
      <c r="K45" s="712"/>
      <c r="L45" s="789"/>
      <c r="M45" s="891"/>
      <c r="N45" s="895"/>
      <c r="O45" s="584"/>
    </row>
    <row r="46" spans="1:18" s="24" customFormat="1" ht="19.5" customHeight="1" x14ac:dyDescent="0.25">
      <c r="A46" s="3133" t="s">
        <v>265</v>
      </c>
      <c r="B46" s="3134"/>
      <c r="C46" s="38">
        <f>'5สรุปรายงบ (66 พลางก่อน)'!B23</f>
        <v>3746100</v>
      </c>
      <c r="D46" s="38">
        <f>+'1สรุปรายงบ (2)'!C10</f>
        <v>2091900</v>
      </c>
      <c r="E46" s="65">
        <f>+'1สรุปรายงบ (2)'!F10</f>
        <v>1650275</v>
      </c>
      <c r="F46" s="453">
        <f t="shared" si="6"/>
        <v>441625</v>
      </c>
      <c r="G46" s="545"/>
      <c r="H46" s="448"/>
      <c r="I46" s="23"/>
      <c r="J46" s="23"/>
      <c r="K46" s="712"/>
      <c r="L46" s="789"/>
      <c r="M46" s="891"/>
      <c r="N46" s="895"/>
      <c r="O46" s="584"/>
    </row>
    <row r="47" spans="1:18" s="24" customFormat="1" ht="19.5" customHeight="1" x14ac:dyDescent="0.25">
      <c r="A47" s="3133" t="s">
        <v>280</v>
      </c>
      <c r="B47" s="3134"/>
      <c r="C47" s="38" t="e">
        <f>'5สรุปรายงบ (66 พลางก่อน)'!#REF!</f>
        <v>#REF!</v>
      </c>
      <c r="D47" s="38">
        <f>+'1สรุปรายงบ (2)'!C11</f>
        <v>3463200</v>
      </c>
      <c r="E47" s="65">
        <f>+'1สรุปรายงบ (2)'!F11</f>
        <v>2745367</v>
      </c>
      <c r="F47" s="453">
        <f t="shared" si="6"/>
        <v>717833</v>
      </c>
      <c r="G47" s="545"/>
      <c r="H47" s="448"/>
      <c r="I47" s="23"/>
      <c r="J47" s="23"/>
      <c r="K47" s="712"/>
      <c r="L47" s="789"/>
      <c r="M47" s="891"/>
      <c r="N47" s="895"/>
      <c r="O47" s="584"/>
    </row>
    <row r="48" spans="1:18" s="24" customFormat="1" ht="19.5" customHeight="1" x14ac:dyDescent="0.25">
      <c r="A48" s="3123" t="s">
        <v>294</v>
      </c>
      <c r="B48" s="3124"/>
      <c r="C48" s="38" t="e">
        <f>+'5สรุปรายงบ (66 พลางก่อน)'!#REF!</f>
        <v>#REF!</v>
      </c>
      <c r="D48" s="38">
        <f>+'1สรุปรายงบ (2)'!C12</f>
        <v>1158800</v>
      </c>
      <c r="E48" s="65">
        <f>+'1สรุปรายงบ (2)'!F12</f>
        <v>672410</v>
      </c>
      <c r="F48" s="453">
        <f t="shared" si="6"/>
        <v>486390</v>
      </c>
      <c r="G48" s="545"/>
      <c r="H48" s="448"/>
      <c r="I48" s="23"/>
      <c r="J48" s="23"/>
      <c r="K48" s="712"/>
      <c r="L48" s="789"/>
      <c r="M48" s="891"/>
      <c r="N48" s="895"/>
      <c r="O48" s="584"/>
    </row>
    <row r="49" spans="1:15" s="24" customFormat="1" ht="19.5" customHeight="1" x14ac:dyDescent="0.25">
      <c r="A49" s="3123" t="s">
        <v>295</v>
      </c>
      <c r="B49" s="3124"/>
      <c r="C49" s="38" t="e">
        <f>+'5สรุปรายงบ (66 พลางก่อน)'!#REF!</f>
        <v>#REF!</v>
      </c>
      <c r="D49" s="38">
        <f>+'1สรุปรายงบ (2)'!C18</f>
        <v>2367600</v>
      </c>
      <c r="E49" s="65">
        <f>+'1สรุปรายงบ (2)'!F18</f>
        <v>2112679</v>
      </c>
      <c r="F49" s="453">
        <f t="shared" si="6"/>
        <v>254921</v>
      </c>
      <c r="G49" s="545"/>
      <c r="H49" s="448"/>
      <c r="I49" s="23"/>
      <c r="J49" s="23"/>
      <c r="K49" s="712"/>
      <c r="L49" s="789"/>
      <c r="M49" s="891"/>
      <c r="N49" s="895"/>
      <c r="O49" s="584"/>
    </row>
    <row r="50" spans="1:15" s="24" customFormat="1" ht="19.5" customHeight="1" x14ac:dyDescent="0.25">
      <c r="A50" s="31"/>
      <c r="B50" s="31"/>
      <c r="C50" s="35" t="e">
        <f>+C44+C43</f>
        <v>#REF!</v>
      </c>
      <c r="D50" s="35">
        <f>+D44+D43</f>
        <v>38002950</v>
      </c>
      <c r="E50" s="853">
        <f>+E44+E43</f>
        <v>16965165</v>
      </c>
      <c r="F50" s="546">
        <f>+F44+F43</f>
        <v>21037785</v>
      </c>
      <c r="G50" s="544"/>
      <c r="H50" s="23"/>
      <c r="I50" s="23"/>
      <c r="J50" s="23"/>
      <c r="K50" s="712"/>
      <c r="L50" s="789"/>
      <c r="M50" s="891"/>
      <c r="N50" s="896"/>
      <c r="O50" s="584"/>
    </row>
    <row r="51" spans="1:15" s="24" customFormat="1" ht="18" customHeight="1" x14ac:dyDescent="0.3">
      <c r="A51" s="42"/>
      <c r="B51" s="42"/>
      <c r="E51" s="25"/>
      <c r="F51" s="547"/>
      <c r="G51" s="25"/>
      <c r="H51" s="26"/>
      <c r="I51" s="23"/>
      <c r="J51" s="23"/>
      <c r="K51" s="712"/>
      <c r="L51" s="790"/>
      <c r="M51" s="886"/>
      <c r="N51" s="896"/>
      <c r="O51" s="584"/>
    </row>
    <row r="52" spans="1:15" s="24" customFormat="1" x14ac:dyDescent="0.5">
      <c r="A52" s="25"/>
      <c r="B52" s="25"/>
      <c r="E52" s="39"/>
      <c r="F52" s="547"/>
      <c r="H52" s="26"/>
      <c r="I52" s="27"/>
      <c r="J52" s="712"/>
      <c r="K52" s="712"/>
      <c r="L52" s="790"/>
      <c r="M52" s="886"/>
      <c r="N52" s="896"/>
      <c r="O52" s="585"/>
    </row>
    <row r="53" spans="1:15" x14ac:dyDescent="0.3">
      <c r="A53" s="2"/>
      <c r="B53" s="2"/>
      <c r="C53" s="2"/>
      <c r="D53" s="2"/>
      <c r="F53" s="547"/>
    </row>
    <row r="54" spans="1:15" x14ac:dyDescent="0.3">
      <c r="A54" s="2"/>
      <c r="B54" s="2"/>
      <c r="C54" s="2"/>
      <c r="D54" s="2"/>
      <c r="F54" s="547"/>
      <c r="G54" s="3"/>
    </row>
    <row r="55" spans="1:15" x14ac:dyDescent="0.3">
      <c r="A55" s="2"/>
      <c r="B55" s="2"/>
      <c r="C55" s="2"/>
      <c r="D55" s="2"/>
      <c r="F55" s="547"/>
      <c r="G55" s="3"/>
    </row>
    <row r="56" spans="1:15" x14ac:dyDescent="0.3">
      <c r="A56" s="2"/>
      <c r="B56" s="2"/>
      <c r="C56" s="2"/>
      <c r="D56" s="2"/>
      <c r="E56" s="41"/>
      <c r="F56" s="547"/>
      <c r="G56" s="3"/>
    </row>
    <row r="57" spans="1:15" x14ac:dyDescent="0.3">
      <c r="A57" s="2"/>
      <c r="B57" s="2"/>
      <c r="C57" s="2"/>
      <c r="D57" s="2"/>
      <c r="E57" s="3"/>
      <c r="F57" s="549"/>
      <c r="G57" s="3"/>
    </row>
    <row r="58" spans="1:15" x14ac:dyDescent="0.3">
      <c r="A58" s="29"/>
      <c r="B58" s="29"/>
      <c r="C58" s="28"/>
      <c r="D58" s="28"/>
    </row>
    <row r="59" spans="1:15" x14ac:dyDescent="0.3">
      <c r="A59" s="29"/>
      <c r="B59" s="29"/>
    </row>
    <row r="60" spans="1:15" x14ac:dyDescent="0.3">
      <c r="A60" s="29"/>
      <c r="B60" s="29"/>
      <c r="E60" s="20"/>
      <c r="F60" s="551"/>
    </row>
    <row r="61" spans="1:15" x14ac:dyDescent="0.3">
      <c r="A61" s="29"/>
      <c r="B61" s="29"/>
    </row>
    <row r="62" spans="1:15" x14ac:dyDescent="0.3">
      <c r="A62" s="29"/>
      <c r="B62" s="29"/>
    </row>
    <row r="63" spans="1:15" x14ac:dyDescent="0.3">
      <c r="A63" s="29"/>
      <c r="B63" s="29"/>
    </row>
    <row r="64" spans="1:15" x14ac:dyDescent="0.3">
      <c r="A64" s="29"/>
      <c r="B64" s="29"/>
    </row>
    <row r="65" spans="1:13" x14ac:dyDescent="0.3">
      <c r="A65" s="29"/>
      <c r="B65" s="29"/>
      <c r="C65" s="19"/>
      <c r="D65" s="19"/>
      <c r="E65" s="3"/>
      <c r="F65" s="3"/>
      <c r="G65" s="3"/>
      <c r="H65" s="3"/>
      <c r="I65" s="3"/>
      <c r="J65" s="3"/>
      <c r="K65" s="37"/>
      <c r="L65" s="3"/>
      <c r="M65" s="19"/>
    </row>
    <row r="66" spans="1:13" x14ac:dyDescent="0.3">
      <c r="A66" s="29"/>
      <c r="B66" s="29"/>
      <c r="E66" s="3"/>
      <c r="F66" s="3"/>
      <c r="G66" s="3"/>
      <c r="H66" s="3"/>
      <c r="I66" s="3"/>
      <c r="J66" s="3"/>
      <c r="K66" s="37"/>
      <c r="L66" s="3"/>
      <c r="M66" s="19"/>
    </row>
    <row r="67" spans="1:13" x14ac:dyDescent="0.3">
      <c r="A67" s="29"/>
      <c r="B67" s="29"/>
      <c r="E67" s="3"/>
      <c r="F67" s="3"/>
      <c r="G67" s="3"/>
      <c r="H67" s="3"/>
      <c r="I67" s="3"/>
      <c r="J67" s="3"/>
      <c r="K67" s="37"/>
      <c r="L67" s="3"/>
      <c r="M67" s="19"/>
    </row>
    <row r="68" spans="1:13" x14ac:dyDescent="0.3">
      <c r="A68" s="29"/>
      <c r="B68" s="29"/>
      <c r="E68" s="3"/>
      <c r="F68" s="3"/>
      <c r="G68" s="3"/>
      <c r="H68" s="3"/>
      <c r="I68" s="3"/>
      <c r="J68" s="3"/>
      <c r="K68" s="37"/>
      <c r="L68" s="3"/>
      <c r="M68" s="19"/>
    </row>
    <row r="70" spans="1:13" x14ac:dyDescent="0.3">
      <c r="C70" s="28"/>
      <c r="D70" s="28"/>
      <c r="E70" s="3"/>
      <c r="F70" s="3"/>
      <c r="G70" s="3"/>
      <c r="H70" s="3"/>
      <c r="I70" s="3"/>
      <c r="J70" s="3"/>
      <c r="K70" s="37"/>
      <c r="L70" s="3"/>
      <c r="M70" s="19"/>
    </row>
    <row r="74" spans="1:13" x14ac:dyDescent="0.3">
      <c r="C74" s="28"/>
      <c r="D74" s="28"/>
      <c r="E74" s="3"/>
      <c r="F74" s="3"/>
      <c r="G74" s="3"/>
      <c r="H74" s="3"/>
      <c r="I74" s="3"/>
      <c r="J74" s="3"/>
      <c r="K74" s="37"/>
      <c r="L74" s="3"/>
      <c r="M74" s="19"/>
    </row>
  </sheetData>
  <mergeCells count="15">
    <mergeCell ref="A1:I1"/>
    <mergeCell ref="E2:I2"/>
    <mergeCell ref="E3:I3"/>
    <mergeCell ref="A43:B43"/>
    <mergeCell ref="K8:Q8"/>
    <mergeCell ref="P14:Q14"/>
    <mergeCell ref="A49:B49"/>
    <mergeCell ref="D2:D5"/>
    <mergeCell ref="A44:B44"/>
    <mergeCell ref="K14:O14"/>
    <mergeCell ref="A45:B45"/>
    <mergeCell ref="A46:B46"/>
    <mergeCell ref="A47:B47"/>
    <mergeCell ref="A48:B48"/>
    <mergeCell ref="K12:Q12"/>
  </mergeCells>
  <pageMargins left="0" right="0" top="0.35433070866141703" bottom="0.15748031496063" header="0.31496062992126" footer="0.31496062992126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R42"/>
  <sheetViews>
    <sheetView view="pageBreakPreview" zoomScaleNormal="90" zoomScaleSheetLayoutView="100" workbookViewId="0">
      <selection activeCell="I4" sqref="I4"/>
    </sheetView>
  </sheetViews>
  <sheetFormatPr defaultColWidth="9" defaultRowHeight="18.75" x14ac:dyDescent="0.3"/>
  <cols>
    <col min="1" max="1" width="3.5703125" style="1062" customWidth="1"/>
    <col min="2" max="2" width="3.5703125" style="366" customWidth="1"/>
    <col min="3" max="3" width="30.5703125" style="366" customWidth="1"/>
    <col min="4" max="5" width="12.85546875" style="416" customWidth="1"/>
    <col min="6" max="7" width="19.42578125" style="416" customWidth="1"/>
    <col min="8" max="8" width="19.42578125" style="1573" customWidth="1"/>
    <col min="9" max="9" width="25.85546875" style="1125" customWidth="1"/>
    <col min="10" max="18" width="9" style="1125"/>
    <col min="19" max="16384" width="9" style="1062"/>
  </cols>
  <sheetData>
    <row r="1" spans="1:18" ht="19.5" thickBot="1" x14ac:dyDescent="0.35">
      <c r="A1" s="3144"/>
      <c r="B1" s="3144"/>
      <c r="C1" s="3144"/>
      <c r="D1" s="3144"/>
      <c r="E1" s="3144"/>
      <c r="F1" s="3144"/>
      <c r="G1" s="3144"/>
      <c r="H1" s="3144"/>
    </row>
    <row r="2" spans="1:18" s="366" customFormat="1" ht="17.25" customHeight="1" thickBot="1" x14ac:dyDescent="0.35">
      <c r="A2" s="3150" t="s">
        <v>591</v>
      </c>
      <c r="B2" s="3151"/>
      <c r="C2" s="3151"/>
      <c r="D2" s="3151"/>
      <c r="E2" s="3151"/>
      <c r="F2" s="3151"/>
      <c r="G2" s="3151"/>
      <c r="H2" s="3151"/>
      <c r="I2" s="1125"/>
      <c r="J2" s="1125"/>
      <c r="K2" s="1125"/>
      <c r="L2" s="1125"/>
      <c r="M2" s="1125"/>
      <c r="N2" s="1125"/>
      <c r="O2" s="1125"/>
      <c r="P2" s="1125"/>
      <c r="Q2" s="1125"/>
      <c r="R2" s="1125"/>
    </row>
    <row r="3" spans="1:18" s="1071" customFormat="1" ht="29.25" customHeight="1" x14ac:dyDescent="0.25">
      <c r="A3" s="3152" t="s">
        <v>0</v>
      </c>
      <c r="B3" s="3153"/>
      <c r="C3" s="3154"/>
      <c r="D3" s="3148" t="s">
        <v>444</v>
      </c>
      <c r="E3" s="3149"/>
      <c r="F3" s="3148" t="s">
        <v>590</v>
      </c>
      <c r="G3" s="3149"/>
      <c r="H3" s="3158" t="s">
        <v>18</v>
      </c>
      <c r="I3" s="1126"/>
      <c r="J3" s="1126"/>
      <c r="K3" s="1126"/>
      <c r="L3" s="1126"/>
      <c r="M3" s="1126"/>
      <c r="N3" s="1126"/>
      <c r="O3" s="1126"/>
      <c r="P3" s="1126"/>
      <c r="Q3" s="1126"/>
      <c r="R3" s="1126"/>
    </row>
    <row r="4" spans="1:18" s="1075" customFormat="1" ht="37.5" customHeight="1" thickBot="1" x14ac:dyDescent="0.55000000000000004">
      <c r="A4" s="3155"/>
      <c r="B4" s="3156"/>
      <c r="C4" s="3157"/>
      <c r="D4" s="1566" t="s">
        <v>592</v>
      </c>
      <c r="E4" s="1563" t="s">
        <v>593</v>
      </c>
      <c r="F4" s="1564" t="s">
        <v>592</v>
      </c>
      <c r="G4" s="1564" t="s">
        <v>593</v>
      </c>
      <c r="H4" s="3159"/>
      <c r="I4" s="1127"/>
      <c r="J4" s="1127"/>
      <c r="K4" s="1127"/>
      <c r="L4" s="1127"/>
      <c r="M4" s="1127"/>
      <c r="N4" s="1127"/>
      <c r="O4" s="1127"/>
      <c r="P4" s="1127"/>
      <c r="Q4" s="1127"/>
      <c r="R4" s="1127"/>
    </row>
    <row r="5" spans="1:18" s="1071" customFormat="1" ht="15.75" x14ac:dyDescent="0.25">
      <c r="A5" s="1201" t="s">
        <v>454</v>
      </c>
      <c r="B5" s="1539"/>
      <c r="C5" s="1537"/>
      <c r="D5" s="1108">
        <f>+D6+D12</f>
        <v>12948856.309999999</v>
      </c>
      <c r="E5" s="1108"/>
      <c r="F5" s="1108">
        <f>+F6+F12</f>
        <v>8667594</v>
      </c>
      <c r="G5" s="1108">
        <f>+G6+G12</f>
        <v>8396155</v>
      </c>
      <c r="H5" s="1567">
        <f>+H6+H12</f>
        <v>271439</v>
      </c>
      <c r="I5" s="1126"/>
      <c r="J5" s="1126"/>
      <c r="K5" s="1126"/>
      <c r="L5" s="1126"/>
      <c r="M5" s="1126"/>
      <c r="N5" s="1126"/>
      <c r="O5" s="1126"/>
      <c r="P5" s="1126"/>
      <c r="Q5" s="1126"/>
      <c r="R5" s="1126"/>
    </row>
    <row r="6" spans="1:18" s="1071" customFormat="1" ht="15.75" x14ac:dyDescent="0.25">
      <c r="A6" s="1198"/>
      <c r="B6" s="1540" t="s">
        <v>455</v>
      </c>
      <c r="C6" s="1538"/>
      <c r="D6" s="1086">
        <f>SUM(D7:D11)</f>
        <v>8002555</v>
      </c>
      <c r="E6" s="1086"/>
      <c r="F6" s="1086">
        <f>SUM(F7:F11)</f>
        <v>5421625</v>
      </c>
      <c r="G6" s="1086">
        <f>SUM(G7:G11)</f>
        <v>5510726</v>
      </c>
      <c r="H6" s="1568">
        <f>SUM(H7:H11)</f>
        <v>-89101</v>
      </c>
      <c r="I6" s="1126"/>
      <c r="J6" s="1126"/>
      <c r="K6" s="1126"/>
      <c r="L6" s="1126"/>
      <c r="M6" s="1126"/>
      <c r="N6" s="1126"/>
      <c r="O6" s="1126"/>
      <c r="P6" s="1126"/>
      <c r="Q6" s="1126"/>
      <c r="R6" s="1126"/>
    </row>
    <row r="7" spans="1:18" s="1091" customFormat="1" ht="15.75" x14ac:dyDescent="0.25">
      <c r="A7" s="1199"/>
      <c r="B7" s="31"/>
      <c r="C7" s="1092" t="s">
        <v>456</v>
      </c>
      <c r="D7" s="38">
        <v>6789250</v>
      </c>
      <c r="E7" s="38"/>
      <c r="F7" s="1095">
        <v>4624750</v>
      </c>
      <c r="G7" s="1095">
        <v>4624750</v>
      </c>
      <c r="H7" s="1569">
        <f>+F7-G7</f>
        <v>0</v>
      </c>
    </row>
    <row r="8" spans="1:18" s="1091" customFormat="1" ht="15.75" x14ac:dyDescent="0.25">
      <c r="A8" s="1199"/>
      <c r="B8" s="31"/>
      <c r="C8" s="1092" t="s">
        <v>77</v>
      </c>
      <c r="D8" s="38">
        <v>10165</v>
      </c>
      <c r="E8" s="38"/>
      <c r="F8" s="1095">
        <v>8132</v>
      </c>
      <c r="G8" s="1095">
        <v>8132</v>
      </c>
      <c r="H8" s="1569">
        <f>+F8-G8</f>
        <v>0</v>
      </c>
    </row>
    <row r="9" spans="1:18" s="1091" customFormat="1" ht="15.75" x14ac:dyDescent="0.25">
      <c r="A9" s="1199"/>
      <c r="B9" s="31"/>
      <c r="C9" s="1092" t="s">
        <v>78</v>
      </c>
      <c r="D9" s="75">
        <f>82000*12</f>
        <v>984000</v>
      </c>
      <c r="E9" s="75"/>
      <c r="F9" s="1170">
        <v>656000</v>
      </c>
      <c r="G9" s="1171">
        <v>738000</v>
      </c>
      <c r="H9" s="1570">
        <f>+F9-G9</f>
        <v>-82000</v>
      </c>
    </row>
    <row r="10" spans="1:18" s="1091" customFormat="1" ht="15" customHeight="1" x14ac:dyDescent="0.25">
      <c r="A10" s="1199"/>
      <c r="B10" s="31"/>
      <c r="C10" s="1092" t="s">
        <v>79</v>
      </c>
      <c r="D10" s="75">
        <v>165510</v>
      </c>
      <c r="E10" s="75"/>
      <c r="F10" s="1170">
        <v>93353</v>
      </c>
      <c r="G10" s="1171">
        <v>103454</v>
      </c>
      <c r="H10" s="1570">
        <f>+F10-G10</f>
        <v>-10101</v>
      </c>
    </row>
    <row r="11" spans="1:18" s="1091" customFormat="1" ht="15.75" x14ac:dyDescent="0.25">
      <c r="A11" s="1199"/>
      <c r="B11" s="31"/>
      <c r="C11" s="1092" t="s">
        <v>80</v>
      </c>
      <c r="D11" s="38">
        <v>53630</v>
      </c>
      <c r="E11" s="38"/>
      <c r="F11" s="1095">
        <v>39390</v>
      </c>
      <c r="G11" s="1097">
        <v>36390</v>
      </c>
      <c r="H11" s="1569">
        <f>+F11-G11</f>
        <v>3000</v>
      </c>
    </row>
    <row r="12" spans="1:18" s="1071" customFormat="1" ht="15.75" x14ac:dyDescent="0.25">
      <c r="A12" s="1198"/>
      <c r="B12" s="1540" t="s">
        <v>457</v>
      </c>
      <c r="C12" s="1538"/>
      <c r="D12" s="1086">
        <f>SUM(D13:D19)</f>
        <v>4946301.3099999996</v>
      </c>
      <c r="E12" s="1086"/>
      <c r="F12" s="1086">
        <f>SUM(F13:F19)</f>
        <v>3245969</v>
      </c>
      <c r="G12" s="1086">
        <f>SUM(G13:G19)</f>
        <v>2885429</v>
      </c>
      <c r="H12" s="1568">
        <f>SUM(H13:H19)</f>
        <v>360540</v>
      </c>
      <c r="I12" s="1126"/>
      <c r="J12" s="1126"/>
      <c r="K12" s="1126"/>
      <c r="L12" s="1126"/>
      <c r="M12" s="1126"/>
      <c r="N12" s="1126"/>
      <c r="O12" s="1126"/>
      <c r="P12" s="1126"/>
      <c r="Q12" s="1126"/>
      <c r="R12" s="1126"/>
    </row>
    <row r="13" spans="1:18" s="1091" customFormat="1" ht="15.75" x14ac:dyDescent="0.25">
      <c r="A13" s="1199"/>
      <c r="B13" s="31"/>
      <c r="C13" s="1092" t="s">
        <v>42</v>
      </c>
      <c r="D13" s="1170">
        <f>2892520+1500</f>
        <v>2894020</v>
      </c>
      <c r="E13" s="1170">
        <v>3945859</v>
      </c>
      <c r="F13" s="1170">
        <v>3228659</v>
      </c>
      <c r="G13" s="1171">
        <v>2870059</v>
      </c>
      <c r="H13" s="1570">
        <f>+F13-G13</f>
        <v>358600</v>
      </c>
      <c r="I13" s="1173">
        <f>+E13-3920860</f>
        <v>24999</v>
      </c>
    </row>
    <row r="14" spans="1:18" s="1091" customFormat="1" ht="15.75" x14ac:dyDescent="0.25">
      <c r="A14" s="1199"/>
      <c r="B14" s="31"/>
      <c r="C14" s="1005" t="s">
        <v>59</v>
      </c>
      <c r="D14" s="1095">
        <v>580200</v>
      </c>
      <c r="E14" s="1095"/>
      <c r="F14" s="1175"/>
      <c r="G14" s="1176"/>
      <c r="H14" s="1570">
        <f t="shared" ref="H14:H19" si="0">+F14-G14</f>
        <v>0</v>
      </c>
      <c r="I14" s="1091" t="s">
        <v>594</v>
      </c>
    </row>
    <row r="15" spans="1:18" s="1091" customFormat="1" ht="15.75" x14ac:dyDescent="0.25">
      <c r="A15" s="1199"/>
      <c r="B15" s="31"/>
      <c r="C15" s="1092" t="s">
        <v>60</v>
      </c>
      <c r="D15" s="1095">
        <v>446640</v>
      </c>
      <c r="E15" s="1095"/>
      <c r="F15" s="1095"/>
      <c r="G15" s="1097"/>
      <c r="H15" s="1570">
        <f t="shared" si="0"/>
        <v>0</v>
      </c>
    </row>
    <row r="16" spans="1:18" s="1091" customFormat="1" ht="15.75" x14ac:dyDescent="0.25">
      <c r="A16" s="1199"/>
      <c r="B16" s="31"/>
      <c r="C16" s="1092" t="s">
        <v>327</v>
      </c>
      <c r="D16" s="1224">
        <f>14000-12000</f>
        <v>2000</v>
      </c>
      <c r="E16" s="1224"/>
      <c r="F16" s="1095"/>
      <c r="G16" s="1097"/>
      <c r="H16" s="1570">
        <f t="shared" si="0"/>
        <v>0</v>
      </c>
    </row>
    <row r="17" spans="1:18" s="1091" customFormat="1" ht="15.75" x14ac:dyDescent="0.25">
      <c r="A17" s="1199"/>
      <c r="B17" s="31"/>
      <c r="C17" s="1092" t="s">
        <v>328</v>
      </c>
      <c r="D17" s="38">
        <v>32000</v>
      </c>
      <c r="E17" s="38"/>
      <c r="F17" s="1095">
        <v>17310</v>
      </c>
      <c r="G17" s="1097">
        <v>15370</v>
      </c>
      <c r="H17" s="1570">
        <f t="shared" si="0"/>
        <v>1940</v>
      </c>
    </row>
    <row r="18" spans="1:18" s="1091" customFormat="1" ht="15.75" x14ac:dyDescent="0.25">
      <c r="A18" s="1200" t="s">
        <v>458</v>
      </c>
      <c r="B18" s="31"/>
      <c r="C18" s="1104" t="s">
        <v>486</v>
      </c>
      <c r="D18" s="1224">
        <f>296000-71028+66900</f>
        <v>291872</v>
      </c>
      <c r="E18" s="1224"/>
      <c r="F18" s="38"/>
      <c r="G18" s="1098"/>
      <c r="H18" s="1570">
        <f t="shared" si="0"/>
        <v>0</v>
      </c>
      <c r="I18" s="1128"/>
      <c r="J18" s="1128"/>
      <c r="K18" s="1128"/>
      <c r="L18" s="1128"/>
      <c r="M18" s="1128"/>
      <c r="N18" s="1128"/>
      <c r="O18" s="1128"/>
      <c r="P18" s="1128"/>
      <c r="Q18" s="1128"/>
      <c r="R18" s="1128"/>
    </row>
    <row r="19" spans="1:18" s="1091" customFormat="1" ht="15.75" x14ac:dyDescent="0.25">
      <c r="A19" s="1200" t="s">
        <v>458</v>
      </c>
      <c r="B19" s="31"/>
      <c r="C19" s="1104" t="s">
        <v>487</v>
      </c>
      <c r="D19" s="38">
        <f>30206.1+152300+402709+264.21+34000+80090</f>
        <v>699569.30999999994</v>
      </c>
      <c r="E19" s="38"/>
      <c r="F19" s="38"/>
      <c r="G19" s="1098"/>
      <c r="H19" s="1570">
        <f t="shared" si="0"/>
        <v>0</v>
      </c>
      <c r="I19" s="1128"/>
      <c r="J19" s="1128"/>
      <c r="K19" s="1128"/>
      <c r="L19" s="1128"/>
      <c r="M19" s="1128"/>
      <c r="N19" s="1128"/>
      <c r="O19" s="1128"/>
      <c r="P19" s="1128"/>
      <c r="Q19" s="1128"/>
      <c r="R19" s="1128"/>
    </row>
    <row r="20" spans="1:18" s="1071" customFormat="1" ht="15.75" x14ac:dyDescent="0.25">
      <c r="A20" s="1201" t="s">
        <v>459</v>
      </c>
      <c r="B20" s="1539"/>
      <c r="C20" s="1537"/>
      <c r="D20" s="1108">
        <f>SUM(D21:D27)</f>
        <v>5161158.76</v>
      </c>
      <c r="E20" s="1108"/>
      <c r="F20" s="1108">
        <f>SUM(F21:F27)</f>
        <v>3634255</v>
      </c>
      <c r="G20" s="1108">
        <f>SUM(G21:G27)</f>
        <v>3560210</v>
      </c>
      <c r="H20" s="1567">
        <f>SUM(H21:H27)</f>
        <v>74045</v>
      </c>
      <c r="I20" s="1126"/>
      <c r="J20" s="1126"/>
      <c r="K20" s="1126"/>
      <c r="L20" s="1126"/>
      <c r="M20" s="1126"/>
      <c r="N20" s="1126"/>
      <c r="O20" s="1126"/>
      <c r="P20" s="1126"/>
      <c r="Q20" s="1126"/>
      <c r="R20" s="1126"/>
    </row>
    <row r="21" spans="1:18" s="1091" customFormat="1" ht="15.75" x14ac:dyDescent="0.25">
      <c r="A21" s="1199"/>
      <c r="B21" s="31" t="s">
        <v>460</v>
      </c>
      <c r="C21" s="1092"/>
      <c r="D21" s="1170">
        <v>855700</v>
      </c>
      <c r="E21" s="1129"/>
      <c r="F21" s="1170">
        <v>598031</v>
      </c>
      <c r="G21" s="1171">
        <v>521665</v>
      </c>
      <c r="H21" s="1570">
        <f>+F21-G21</f>
        <v>76366</v>
      </c>
    </row>
    <row r="22" spans="1:18" s="1091" customFormat="1" ht="15.75" x14ac:dyDescent="0.25">
      <c r="A22" s="1199"/>
      <c r="B22" s="31" t="s">
        <v>461</v>
      </c>
      <c r="C22" s="1092"/>
      <c r="D22" s="1170">
        <v>49000</v>
      </c>
      <c r="E22" s="1129"/>
      <c r="F22" s="1170">
        <v>36967</v>
      </c>
      <c r="G22" s="1171">
        <v>33618</v>
      </c>
      <c r="H22" s="1570">
        <f t="shared" ref="H22:H27" si="1">+F22-G22</f>
        <v>3349</v>
      </c>
    </row>
    <row r="23" spans="1:18" s="1091" customFormat="1" ht="15.75" x14ac:dyDescent="0.25">
      <c r="A23" s="1199"/>
      <c r="B23" s="31" t="s">
        <v>462</v>
      </c>
      <c r="C23" s="1092"/>
      <c r="D23" s="75">
        <v>122254</v>
      </c>
      <c r="E23" s="1129"/>
      <c r="F23" s="1170">
        <v>35488</v>
      </c>
      <c r="G23" s="1171">
        <v>38727</v>
      </c>
      <c r="H23" s="1570">
        <f t="shared" si="1"/>
        <v>-3239</v>
      </c>
    </row>
    <row r="24" spans="1:18" s="1091" customFormat="1" ht="15.75" x14ac:dyDescent="0.25">
      <c r="A24" s="1199"/>
      <c r="B24" s="31" t="s">
        <v>463</v>
      </c>
      <c r="C24" s="1092"/>
      <c r="D24" s="38">
        <v>49000</v>
      </c>
      <c r="E24" s="1224"/>
      <c r="F24" s="1095">
        <v>22512</v>
      </c>
      <c r="G24" s="1097">
        <v>21372</v>
      </c>
      <c r="H24" s="1570">
        <f t="shared" si="1"/>
        <v>1140</v>
      </c>
    </row>
    <row r="25" spans="1:18" s="1091" customFormat="1" ht="15.75" x14ac:dyDescent="0.25">
      <c r="A25" s="1199"/>
      <c r="B25" s="31" t="s">
        <v>571</v>
      </c>
      <c r="C25" s="1092"/>
      <c r="D25" s="38">
        <v>3992919</v>
      </c>
      <c r="E25" s="38"/>
      <c r="F25" s="1095">
        <v>2872950</v>
      </c>
      <c r="G25" s="1097">
        <v>2872950</v>
      </c>
      <c r="H25" s="1570">
        <f t="shared" si="1"/>
        <v>0</v>
      </c>
    </row>
    <row r="26" spans="1:18" s="1091" customFormat="1" ht="15.75" x14ac:dyDescent="0.25">
      <c r="A26" s="1199"/>
      <c r="B26" s="1113" t="s">
        <v>465</v>
      </c>
      <c r="C26" s="1092"/>
      <c r="D26" s="38">
        <v>13200</v>
      </c>
      <c r="E26" s="1224"/>
      <c r="F26" s="1095">
        <v>8993</v>
      </c>
      <c r="G26" s="1097">
        <v>6174</v>
      </c>
      <c r="H26" s="1570">
        <f t="shared" si="1"/>
        <v>2819</v>
      </c>
    </row>
    <row r="27" spans="1:18" s="1091" customFormat="1" ht="15.75" x14ac:dyDescent="0.25">
      <c r="A27" s="1199"/>
      <c r="B27" s="31" t="s">
        <v>466</v>
      </c>
      <c r="C27" s="1092"/>
      <c r="D27" s="38">
        <v>79085.75999999998</v>
      </c>
      <c r="E27" s="38"/>
      <c r="F27" s="1095">
        <v>59314</v>
      </c>
      <c r="G27" s="1097">
        <v>65704</v>
      </c>
      <c r="H27" s="1570">
        <f t="shared" si="1"/>
        <v>-6390</v>
      </c>
    </row>
    <row r="28" spans="1:18" s="1071" customFormat="1" ht="15.75" x14ac:dyDescent="0.25">
      <c r="A28" s="1201" t="s">
        <v>467</v>
      </c>
      <c r="B28" s="1539"/>
      <c r="C28" s="1537"/>
      <c r="D28" s="1108">
        <f>SUM(D29:D40)</f>
        <v>4248409</v>
      </c>
      <c r="E28" s="1108">
        <f>SUM(E29:E40)</f>
        <v>0</v>
      </c>
      <c r="F28" s="1108">
        <f>SUM(F29:F40)</f>
        <v>0</v>
      </c>
      <c r="G28" s="1108">
        <f>SUM(G29:G40)</f>
        <v>0</v>
      </c>
      <c r="H28" s="1567">
        <f>SUM(H30:H40)</f>
        <v>0</v>
      </c>
    </row>
    <row r="29" spans="1:18" s="1091" customFormat="1" ht="15.75" x14ac:dyDescent="0.25">
      <c r="A29" s="1454"/>
      <c r="B29" s="31" t="s">
        <v>595</v>
      </c>
      <c r="C29" s="1092"/>
      <c r="D29" s="1095"/>
      <c r="E29" s="1095"/>
      <c r="F29" s="1095"/>
      <c r="G29" s="1097"/>
      <c r="H29" s="1569">
        <f>+F29-G29</f>
        <v>0</v>
      </c>
    </row>
    <row r="30" spans="1:18" s="1091" customFormat="1" ht="15.75" x14ac:dyDescent="0.25">
      <c r="A30" s="1454"/>
      <c r="B30" s="31" t="s">
        <v>468</v>
      </c>
      <c r="C30" s="1092"/>
      <c r="D30" s="1095">
        <f>+'2 จัดสรรให้ส่วนฝ่าย'!B157</f>
        <v>170000</v>
      </c>
      <c r="E30" s="1095"/>
      <c r="F30" s="1095"/>
      <c r="G30" s="1097"/>
      <c r="H30" s="1569"/>
    </row>
    <row r="31" spans="1:18" s="1091" customFormat="1" ht="15.75" x14ac:dyDescent="0.25">
      <c r="A31" s="1454"/>
      <c r="B31" s="31" t="s">
        <v>469</v>
      </c>
      <c r="C31" s="1092"/>
      <c r="D31" s="1129">
        <f>+'2 จัดสรรให้ส่วนฝ่าย'!B6-'2 จัดสรรให้ส่วนฝ่าย'!B13</f>
        <v>1430784</v>
      </c>
      <c r="E31" s="1129"/>
      <c r="F31" s="1170"/>
      <c r="G31" s="1171"/>
      <c r="H31" s="1570"/>
      <c r="I31" s="1173" t="e">
        <f>+#REF!-50000-2199-66773-50000-50000</f>
        <v>#REF!</v>
      </c>
    </row>
    <row r="32" spans="1:18" s="1091" customFormat="1" ht="15.75" x14ac:dyDescent="0.25">
      <c r="A32" s="1454"/>
      <c r="B32" s="31" t="s">
        <v>470</v>
      </c>
      <c r="C32" s="1092"/>
      <c r="D32" s="1224">
        <f>+'2 จัดสรรให้ส่วนฝ่าย'!H6</f>
        <v>14000</v>
      </c>
      <c r="E32" s="1224"/>
      <c r="F32" s="1095"/>
      <c r="G32" s="1097"/>
      <c r="H32" s="1569"/>
    </row>
    <row r="33" spans="1:8" s="1091" customFormat="1" ht="15.75" x14ac:dyDescent="0.25">
      <c r="A33" s="1454"/>
      <c r="B33" s="31" t="s">
        <v>471</v>
      </c>
      <c r="C33" s="1092"/>
      <c r="D33" s="1224">
        <f>+'2 จัดสรรให้ส่วนฝ่าย'!B39</f>
        <v>381700</v>
      </c>
      <c r="E33" s="1224"/>
      <c r="F33" s="1095"/>
      <c r="G33" s="1097"/>
      <c r="H33" s="1569"/>
    </row>
    <row r="34" spans="1:8" s="1091" customFormat="1" ht="15.75" x14ac:dyDescent="0.25">
      <c r="A34" s="1454"/>
      <c r="B34" s="31" t="s">
        <v>472</v>
      </c>
      <c r="C34" s="1092"/>
      <c r="D34" s="1224">
        <f>+'2 จัดสรรให้ส่วนฝ่าย'!H39</f>
        <v>135750</v>
      </c>
      <c r="E34" s="1224"/>
      <c r="F34" s="1095"/>
      <c r="G34" s="1097"/>
      <c r="H34" s="1569"/>
    </row>
    <row r="35" spans="1:8" s="1091" customFormat="1" ht="17.25" customHeight="1" x14ac:dyDescent="0.25">
      <c r="A35" s="1454"/>
      <c r="B35" s="31" t="s">
        <v>473</v>
      </c>
      <c r="C35" s="1092"/>
      <c r="D35" s="1224">
        <f>+'2 จัดสรรให้ส่วนฝ่าย'!B69</f>
        <v>499800</v>
      </c>
      <c r="E35" s="1224"/>
      <c r="F35" s="1095"/>
      <c r="G35" s="1097"/>
      <c r="H35" s="1569"/>
    </row>
    <row r="36" spans="1:8" s="1091" customFormat="1" ht="18" customHeight="1" x14ac:dyDescent="0.25">
      <c r="A36" s="1454"/>
      <c r="B36" s="31" t="s">
        <v>474</v>
      </c>
      <c r="C36" s="1092"/>
      <c r="D36" s="1224">
        <f>+'2 จัดสรรให้ส่วนฝ่าย'!H69</f>
        <v>622075</v>
      </c>
      <c r="E36" s="1224"/>
      <c r="F36" s="1095"/>
      <c r="G36" s="1097"/>
      <c r="H36" s="1569"/>
    </row>
    <row r="37" spans="1:8" s="1091" customFormat="1" ht="15.75" x14ac:dyDescent="0.25">
      <c r="A37" s="1454"/>
      <c r="B37" s="31" t="s">
        <v>475</v>
      </c>
      <c r="C37" s="1092"/>
      <c r="D37" s="1224">
        <f>+'2 จัดสรรให้ส่วนฝ่าย'!B99</f>
        <v>213000</v>
      </c>
      <c r="E37" s="1224"/>
      <c r="F37" s="1095"/>
      <c r="G37" s="1097"/>
      <c r="H37" s="1569"/>
    </row>
    <row r="38" spans="1:8" s="1091" customFormat="1" ht="15.75" x14ac:dyDescent="0.25">
      <c r="A38" s="1454"/>
      <c r="B38" s="31" t="s">
        <v>476</v>
      </c>
      <c r="C38" s="1092"/>
      <c r="D38" s="1224">
        <f>+'2 จัดสรรให้ส่วนฝ่าย'!H99</f>
        <v>221200</v>
      </c>
      <c r="E38" s="1224"/>
      <c r="F38" s="1095"/>
      <c r="G38" s="1097"/>
      <c r="H38" s="1569"/>
    </row>
    <row r="39" spans="1:8" s="1091" customFormat="1" ht="15.75" x14ac:dyDescent="0.25">
      <c r="A39" s="1454"/>
      <c r="B39" s="31" t="s">
        <v>477</v>
      </c>
      <c r="C39" s="1092"/>
      <c r="D39" s="1255">
        <f>+'2 จัดสรรให้ส่วนฝ่าย'!B129</f>
        <v>80100</v>
      </c>
      <c r="E39" s="1255"/>
      <c r="F39" s="1095"/>
      <c r="G39" s="1097"/>
      <c r="H39" s="1569"/>
    </row>
    <row r="40" spans="1:8" s="1091" customFormat="1" ht="16.5" thickBot="1" x14ac:dyDescent="0.3">
      <c r="A40" s="1454"/>
      <c r="B40" s="31" t="s">
        <v>478</v>
      </c>
      <c r="C40" s="1092"/>
      <c r="D40" s="1224">
        <f>+'2 จัดสรรให้ส่วนฝ่าย'!H129</f>
        <v>480000</v>
      </c>
      <c r="E40" s="1224"/>
      <c r="F40" s="1095"/>
      <c r="G40" s="1097"/>
      <c r="H40" s="1569"/>
    </row>
    <row r="41" spans="1:8" s="1071" customFormat="1" ht="16.5" customHeight="1" thickTop="1" thickBot="1" x14ac:dyDescent="0.3">
      <c r="A41" s="3145" t="s">
        <v>28</v>
      </c>
      <c r="B41" s="3146"/>
      <c r="C41" s="3147"/>
      <c r="D41" s="1179">
        <f>+D28+D20+D5</f>
        <v>22358424.07</v>
      </c>
      <c r="E41" s="1179"/>
      <c r="F41" s="1179">
        <f>+F28+F20+F5</f>
        <v>12301849</v>
      </c>
      <c r="G41" s="1179">
        <f>+G28+G20+G5</f>
        <v>11956365</v>
      </c>
      <c r="H41" s="1571">
        <f>+H28+H20+H5</f>
        <v>345484</v>
      </c>
    </row>
    <row r="42" spans="1:8" s="1091" customFormat="1" ht="15.75" customHeight="1" thickTop="1" x14ac:dyDescent="0.25">
      <c r="B42" s="31"/>
      <c r="C42" s="31"/>
      <c r="D42" s="473"/>
      <c r="E42" s="473"/>
      <c r="F42" s="473"/>
      <c r="G42" s="473"/>
      <c r="H42" s="1572"/>
    </row>
  </sheetData>
  <mergeCells count="7">
    <mergeCell ref="A1:H1"/>
    <mergeCell ref="A41:C41"/>
    <mergeCell ref="F3:G3"/>
    <mergeCell ref="D3:E3"/>
    <mergeCell ref="A2:H2"/>
    <mergeCell ref="A3:C4"/>
    <mergeCell ref="H3:H4"/>
  </mergeCells>
  <pageMargins left="3.937007874015748E-2" right="3.937007874015748E-2" top="0" bottom="0" header="0.31496062992125984" footer="0.31496062992125984"/>
  <pageSetup scale="88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AG30"/>
  <sheetViews>
    <sheetView workbookViewId="0">
      <selection sqref="A1:N1"/>
    </sheetView>
  </sheetViews>
  <sheetFormatPr defaultColWidth="9" defaultRowHeight="18.75" x14ac:dyDescent="0.3"/>
  <cols>
    <col min="1" max="2" width="3.5703125" style="1062" customWidth="1"/>
    <col min="3" max="3" width="28.140625" style="1062" customWidth="1"/>
    <col min="4" max="4" width="6.42578125" style="416" customWidth="1"/>
    <col min="5" max="5" width="9.140625" style="416" customWidth="1"/>
    <col min="6" max="6" width="13.85546875" style="416" customWidth="1"/>
    <col min="7" max="7" width="5.28515625" style="416" customWidth="1"/>
    <col min="8" max="8" width="7.85546875" style="416" customWidth="1"/>
    <col min="9" max="9" width="8.7109375" style="416" customWidth="1"/>
    <col min="10" max="10" width="9.7109375" style="416" customWidth="1"/>
    <col min="11" max="11" width="10.140625" style="416" customWidth="1"/>
    <col min="12" max="12" width="10" style="416" customWidth="1"/>
    <col min="13" max="13" width="8.7109375" style="416" customWidth="1"/>
    <col min="14" max="14" width="11.7109375" style="416" customWidth="1"/>
    <col min="15" max="15" width="10.7109375" style="366" customWidth="1"/>
    <col min="16" max="16" width="11" style="366" hidden="1" customWidth="1"/>
    <col min="17" max="17" width="10.140625" style="366" customWidth="1"/>
    <col min="18" max="18" width="11" style="366" bestFit="1" customWidth="1"/>
    <col min="19" max="19" width="10" style="366" bestFit="1" customWidth="1"/>
    <col min="20" max="33" width="9" style="1125"/>
    <col min="34" max="16384" width="9" style="1062"/>
  </cols>
  <sheetData>
    <row r="1" spans="1:33" ht="32.25" customHeight="1" thickBot="1" x14ac:dyDescent="0.35">
      <c r="A1" s="3166" t="s">
        <v>495</v>
      </c>
      <c r="B1" s="3167"/>
      <c r="C1" s="3167"/>
      <c r="D1" s="3167"/>
      <c r="E1" s="3167"/>
      <c r="F1" s="3167"/>
      <c r="G1" s="3167"/>
      <c r="H1" s="3167"/>
      <c r="I1" s="3167"/>
      <c r="J1" s="3167"/>
      <c r="K1" s="3167"/>
      <c r="L1" s="3167"/>
      <c r="M1" s="3167"/>
      <c r="N1" s="3168"/>
    </row>
    <row r="2" spans="1:33" ht="43.5" customHeight="1" x14ac:dyDescent="0.3">
      <c r="A2" s="3162" t="s">
        <v>602</v>
      </c>
      <c r="B2" s="3163"/>
      <c r="C2" s="3163"/>
      <c r="D2" s="3163"/>
      <c r="E2" s="3163"/>
      <c r="F2" s="3164"/>
      <c r="G2" s="1063"/>
      <c r="H2" s="3165" t="s">
        <v>426</v>
      </c>
      <c r="I2" s="3163"/>
      <c r="J2" s="3163"/>
      <c r="K2" s="3163"/>
      <c r="L2" s="3163"/>
      <c r="M2" s="3163"/>
      <c r="N2" s="3164"/>
    </row>
    <row r="3" spans="1:33" x14ac:dyDescent="0.3">
      <c r="A3" s="1181"/>
      <c r="B3" s="1065"/>
      <c r="D3" s="1063"/>
      <c r="E3" s="1063"/>
      <c r="F3" s="1190"/>
      <c r="G3" s="1063"/>
      <c r="H3" s="1181"/>
      <c r="I3" s="1065"/>
      <c r="J3" s="1063"/>
      <c r="K3" s="1063"/>
      <c r="L3" s="1063"/>
      <c r="M3" s="3169"/>
      <c r="N3" s="3170"/>
    </row>
    <row r="4" spans="1:33" x14ac:dyDescent="0.3">
      <c r="A4" s="1181"/>
      <c r="B4" s="1065" t="s">
        <v>427</v>
      </c>
      <c r="D4" s="1063"/>
      <c r="E4" s="3171">
        <v>18786300</v>
      </c>
      <c r="F4" s="3172"/>
      <c r="G4" s="1063"/>
      <c r="H4" s="1181"/>
      <c r="I4" s="1620" t="s">
        <v>428</v>
      </c>
      <c r="J4" s="1068"/>
      <c r="K4" s="595"/>
      <c r="L4" s="595"/>
      <c r="M4" s="3173">
        <v>11132050</v>
      </c>
      <c r="N4" s="3174"/>
    </row>
    <row r="5" spans="1:33" x14ac:dyDescent="0.3">
      <c r="A5" s="1181"/>
      <c r="B5" s="1065"/>
      <c r="C5" s="1062" t="s">
        <v>603</v>
      </c>
      <c r="D5" s="1063"/>
      <c r="E5" s="1606"/>
      <c r="F5" s="1607">
        <v>5120700</v>
      </c>
      <c r="G5" s="1063"/>
      <c r="H5" s="1181"/>
      <c r="I5" s="1620"/>
      <c r="J5" s="1068"/>
      <c r="K5" s="595"/>
      <c r="L5" s="595"/>
      <c r="M5" s="1629"/>
      <c r="N5" s="1630"/>
    </row>
    <row r="6" spans="1:33" x14ac:dyDescent="0.3">
      <c r="A6" s="1181"/>
      <c r="B6" s="1064" t="s">
        <v>16</v>
      </c>
      <c r="D6" s="1063"/>
      <c r="E6" s="1606"/>
      <c r="F6" s="1619">
        <v>13665600</v>
      </c>
      <c r="G6" s="1063"/>
      <c r="H6" s="1181"/>
      <c r="I6" s="1620"/>
      <c r="J6" s="1068"/>
      <c r="K6" s="595"/>
      <c r="L6" s="595"/>
      <c r="M6" s="1629"/>
      <c r="N6" s="1630"/>
    </row>
    <row r="7" spans="1:33" x14ac:dyDescent="0.3">
      <c r="A7" s="1181"/>
      <c r="B7" s="1065" t="s">
        <v>604</v>
      </c>
      <c r="D7" s="1063"/>
      <c r="E7" s="3175">
        <v>3416400</v>
      </c>
      <c r="F7" s="3176"/>
      <c r="G7" s="1063"/>
      <c r="H7" s="1181"/>
      <c r="I7" s="1620" t="s">
        <v>430</v>
      </c>
      <c r="J7" s="1068"/>
      <c r="K7" s="595"/>
      <c r="L7" s="595"/>
      <c r="M7" s="1631"/>
      <c r="N7" s="1632">
        <v>5566000</v>
      </c>
      <c r="S7" s="406"/>
    </row>
    <row r="8" spans="1:33" x14ac:dyDescent="0.3">
      <c r="A8" s="1181"/>
      <c r="B8" s="1064" t="s">
        <v>605</v>
      </c>
      <c r="C8" s="1618"/>
      <c r="D8" s="1063"/>
      <c r="E8" s="3160">
        <f>+E4-E7</f>
        <v>15369900</v>
      </c>
      <c r="F8" s="3161"/>
      <c r="G8" s="1063"/>
      <c r="H8" s="1181"/>
      <c r="I8" s="1620" t="s">
        <v>481</v>
      </c>
      <c r="J8" s="1068"/>
      <c r="K8" s="595"/>
      <c r="L8" s="595"/>
      <c r="M8" s="1631"/>
      <c r="N8" s="1632">
        <f>6789250-(721500*3)</f>
        <v>4624750</v>
      </c>
      <c r="S8" s="406"/>
    </row>
    <row r="9" spans="1:33" s="595" customFormat="1" x14ac:dyDescent="0.3">
      <c r="A9" s="1194"/>
      <c r="B9" s="1620" t="s">
        <v>433</v>
      </c>
      <c r="D9" s="1068"/>
      <c r="E9" s="1068"/>
      <c r="F9" s="1621">
        <f>183000*2</f>
        <v>366000</v>
      </c>
      <c r="G9" s="791"/>
      <c r="H9" s="1182"/>
      <c r="I9" s="1620" t="s">
        <v>433</v>
      </c>
      <c r="J9" s="1068"/>
      <c r="K9" s="1068"/>
      <c r="L9" s="1068"/>
      <c r="M9" s="3181">
        <f>183000*2</f>
        <v>366000</v>
      </c>
      <c r="N9" s="3182"/>
      <c r="O9" s="366"/>
      <c r="P9" s="366"/>
      <c r="Q9" s="366"/>
      <c r="R9" s="366"/>
      <c r="S9" s="406"/>
      <c r="T9" s="1125"/>
      <c r="U9" s="1125"/>
      <c r="V9" s="1125"/>
      <c r="W9" s="1125"/>
      <c r="X9" s="1125"/>
      <c r="Y9" s="1125"/>
      <c r="Z9" s="1125"/>
      <c r="AA9" s="1125"/>
      <c r="AB9" s="1125"/>
      <c r="AC9" s="1125"/>
      <c r="AD9" s="1125"/>
      <c r="AE9" s="1125"/>
      <c r="AF9" s="1125"/>
      <c r="AG9" s="1125"/>
    </row>
    <row r="10" spans="1:33" s="595" customFormat="1" x14ac:dyDescent="0.3">
      <c r="A10" s="1194"/>
      <c r="B10" s="1620" t="s">
        <v>432</v>
      </c>
      <c r="D10" s="1068"/>
      <c r="E10" s="1068"/>
      <c r="F10" s="1622">
        <v>6789250</v>
      </c>
      <c r="G10" s="791"/>
      <c r="H10" s="1182"/>
      <c r="I10" s="1620" t="s">
        <v>480</v>
      </c>
      <c r="J10" s="1068"/>
      <c r="K10" s="1068"/>
      <c r="L10" s="1068"/>
      <c r="M10" s="1633"/>
      <c r="N10" s="1634">
        <f>882*800*2</f>
        <v>1411200</v>
      </c>
      <c r="O10" s="366"/>
      <c r="P10" s="366"/>
      <c r="Q10" s="366"/>
      <c r="R10" s="366"/>
      <c r="S10" s="406"/>
      <c r="T10" s="1125"/>
      <c r="U10" s="1125"/>
      <c r="V10" s="1125"/>
      <c r="W10" s="1125"/>
      <c r="X10" s="1125"/>
      <c r="Y10" s="1125"/>
      <c r="Z10" s="1125"/>
      <c r="AA10" s="1125"/>
      <c r="AB10" s="1125"/>
      <c r="AC10" s="1125"/>
      <c r="AD10" s="1125"/>
      <c r="AE10" s="1125"/>
      <c r="AF10" s="1125"/>
      <c r="AG10" s="1125"/>
    </row>
    <row r="11" spans="1:33" x14ac:dyDescent="0.3">
      <c r="A11" s="1181"/>
      <c r="B11" s="1620" t="s">
        <v>435</v>
      </c>
      <c r="C11" s="595"/>
      <c r="D11" s="1068"/>
      <c r="E11" s="1623"/>
      <c r="F11" s="1624">
        <v>2822400</v>
      </c>
      <c r="G11" s="1063"/>
      <c r="H11" s="1181"/>
      <c r="I11" s="1068"/>
      <c r="J11" s="1625" t="s">
        <v>434</v>
      </c>
      <c r="K11" s="595"/>
      <c r="L11" s="595"/>
      <c r="M11" s="3177">
        <f>+M4+N7+N8+M9+N10</f>
        <v>23100000</v>
      </c>
      <c r="N11" s="3178"/>
    </row>
    <row r="12" spans="1:33" x14ac:dyDescent="0.3">
      <c r="A12" s="1181"/>
      <c r="B12" s="595"/>
      <c r="C12" s="1625" t="s">
        <v>437</v>
      </c>
      <c r="D12" s="1068"/>
      <c r="E12" s="3183">
        <f>+E8+F9+F10+F11</f>
        <v>25347550</v>
      </c>
      <c r="F12" s="3184"/>
      <c r="G12" s="1063"/>
      <c r="H12" s="1181"/>
      <c r="I12" s="1625" t="s">
        <v>485</v>
      </c>
      <c r="J12" s="595"/>
      <c r="K12" s="1068"/>
      <c r="L12" s="1623"/>
      <c r="M12" s="1623"/>
      <c r="N12" s="1635"/>
    </row>
    <row r="13" spans="1:33" x14ac:dyDescent="0.3">
      <c r="A13" s="1181"/>
      <c r="B13" s="1625" t="s">
        <v>439</v>
      </c>
      <c r="C13" s="1068"/>
      <c r="D13" s="1068"/>
      <c r="E13" s="595"/>
      <c r="F13" s="1624"/>
      <c r="G13" s="1063"/>
      <c r="H13" s="1181"/>
      <c r="I13" s="1620" t="s">
        <v>484</v>
      </c>
      <c r="J13" s="595"/>
      <c r="K13" s="1068"/>
      <c r="L13" s="1636"/>
      <c r="M13" s="1623"/>
      <c r="N13" s="1622">
        <v>3184093</v>
      </c>
    </row>
    <row r="14" spans="1:33" x14ac:dyDescent="0.3">
      <c r="A14" s="1181"/>
      <c r="B14" s="1620" t="s">
        <v>441</v>
      </c>
      <c r="C14" s="595"/>
      <c r="D14" s="1068"/>
      <c r="E14" s="1626"/>
      <c r="F14" s="1627">
        <f>9705821+20310-366000</f>
        <v>9360131</v>
      </c>
      <c r="G14" s="1068"/>
      <c r="H14" s="1183"/>
      <c r="I14" s="1620" t="s">
        <v>436</v>
      </c>
      <c r="J14" s="1636"/>
      <c r="K14" s="1068"/>
      <c r="L14" s="1636"/>
      <c r="M14" s="1636"/>
      <c r="N14" s="1622">
        <v>1601814</v>
      </c>
    </row>
    <row r="15" spans="1:33" x14ac:dyDescent="0.3">
      <c r="A15" s="1181"/>
      <c r="B15" s="1620" t="s">
        <v>479</v>
      </c>
      <c r="C15" s="595"/>
      <c r="D15" s="1068"/>
      <c r="E15" s="3185">
        <f>+'1. แผน-ผลการใช้จ่าย เม.ย.-ก.ย'!D61</f>
        <v>22379293.09</v>
      </c>
      <c r="F15" s="3186"/>
      <c r="G15" s="1068"/>
      <c r="H15" s="1181"/>
      <c r="I15" s="1620" t="s">
        <v>482</v>
      </c>
      <c r="J15" s="1636"/>
      <c r="K15" s="595"/>
      <c r="L15" s="3187"/>
      <c r="M15" s="3187"/>
      <c r="N15" s="1622">
        <v>20310</v>
      </c>
      <c r="P15" s="406">
        <f>+M11-L12-N14</f>
        <v>21498186</v>
      </c>
    </row>
    <row r="16" spans="1:33" x14ac:dyDescent="0.3">
      <c r="A16" s="1181"/>
      <c r="B16" s="1068"/>
      <c r="C16" s="1068" t="s">
        <v>16</v>
      </c>
      <c r="D16" s="1068"/>
      <c r="E16" s="595"/>
      <c r="F16" s="1628">
        <f>+E12-F14-E15</f>
        <v>-6391874.0899999999</v>
      </c>
      <c r="G16" s="1068"/>
      <c r="H16" s="1181"/>
      <c r="I16" s="1620" t="s">
        <v>483</v>
      </c>
      <c r="J16" s="595"/>
      <c r="K16" s="595"/>
      <c r="L16" s="3187"/>
      <c r="M16" s="3187"/>
      <c r="N16" s="1635">
        <f>800*882*2</f>
        <v>1411200</v>
      </c>
    </row>
    <row r="17" spans="1:33" s="366" customFormat="1" x14ac:dyDescent="0.3">
      <c r="A17" s="1182"/>
      <c r="B17" s="1068"/>
      <c r="C17" s="1068" t="s">
        <v>488</v>
      </c>
      <c r="D17" s="1068"/>
      <c r="E17" s="3177">
        <f>+E15+F16</f>
        <v>15987419</v>
      </c>
      <c r="F17" s="3178"/>
      <c r="G17" s="1068"/>
      <c r="H17" s="1182"/>
      <c r="I17" s="1620" t="s">
        <v>438</v>
      </c>
      <c r="J17" s="595"/>
      <c r="K17" s="595"/>
      <c r="L17" s="595"/>
      <c r="M17" s="595"/>
      <c r="N17" s="1627">
        <f>+'2 สรุปตามงบที่ได้รับมาแล้ว'!J8</f>
        <v>-973615</v>
      </c>
      <c r="R17" s="406"/>
      <c r="T17" s="1125"/>
      <c r="U17" s="1125"/>
      <c r="V17" s="1125"/>
      <c r="W17" s="1125"/>
      <c r="X17" s="1125"/>
      <c r="Y17" s="1125"/>
      <c r="Z17" s="1125"/>
      <c r="AA17" s="1125"/>
      <c r="AB17" s="1125"/>
      <c r="AC17" s="1125"/>
      <c r="AD17" s="1125"/>
      <c r="AE17" s="1125"/>
      <c r="AF17" s="1125"/>
      <c r="AG17" s="1125"/>
    </row>
    <row r="18" spans="1:33" s="366" customFormat="1" x14ac:dyDescent="0.3">
      <c r="A18" s="1182"/>
      <c r="D18" s="791"/>
      <c r="E18" s="3179"/>
      <c r="F18" s="3180"/>
      <c r="G18" s="1068"/>
      <c r="H18" s="1182"/>
      <c r="I18" s="1620" t="s">
        <v>440</v>
      </c>
      <c r="J18" s="595"/>
      <c r="K18" s="1068"/>
      <c r="L18" s="1068"/>
      <c r="M18" s="1637"/>
      <c r="N18" s="1634">
        <f>+'2 สรุปตามงบที่ได้รับมาแล้ว'!K8</f>
        <v>-4321269</v>
      </c>
      <c r="R18" s="406"/>
      <c r="T18" s="1125"/>
      <c r="U18" s="1125"/>
      <c r="V18" s="1125"/>
      <c r="W18" s="1125"/>
      <c r="X18" s="1125"/>
      <c r="Y18" s="1125"/>
      <c r="Z18" s="1125"/>
      <c r="AA18" s="1125"/>
      <c r="AB18" s="1125"/>
      <c r="AC18" s="1125"/>
      <c r="AD18" s="1125"/>
      <c r="AE18" s="1125"/>
      <c r="AF18" s="1125"/>
      <c r="AG18" s="1125"/>
    </row>
    <row r="19" spans="1:33" s="366" customFormat="1" x14ac:dyDescent="0.3">
      <c r="A19" s="1182"/>
      <c r="D19" s="791"/>
      <c r="E19" s="3177"/>
      <c r="F19" s="3178"/>
      <c r="G19" s="1068"/>
      <c r="H19" s="1184"/>
      <c r="I19" s="1620" t="s">
        <v>442</v>
      </c>
      <c r="J19" s="595"/>
      <c r="K19" s="1068"/>
      <c r="L19" s="1068"/>
      <c r="M19" s="1068"/>
      <c r="N19" s="1638">
        <f>+'1. แผน-ผลการใช้จ่าย เม.ย.-ก.ย'!G61+'1. แผน-ผลการใช้จ่าย เม.ย.-ก.ย'!H61+'1. แผน-ผลการใช้จ่าย เม.ย.-ก.ย'!I61</f>
        <v>2451978</v>
      </c>
      <c r="T19" s="1125"/>
      <c r="U19" s="1125"/>
      <c r="V19" s="1125"/>
      <c r="W19" s="1125"/>
      <c r="X19" s="1125"/>
      <c r="Y19" s="1125"/>
      <c r="Z19" s="1125"/>
      <c r="AA19" s="1125"/>
      <c r="AB19" s="1125"/>
      <c r="AC19" s="1125"/>
      <c r="AD19" s="1125"/>
      <c r="AE19" s="1125"/>
      <c r="AF19" s="1125"/>
      <c r="AG19" s="1125"/>
    </row>
    <row r="20" spans="1:33" s="366" customFormat="1" x14ac:dyDescent="0.3">
      <c r="A20" s="1182"/>
      <c r="D20" s="791"/>
      <c r="E20" s="1122"/>
      <c r="F20" s="1191"/>
      <c r="G20" s="1068"/>
      <c r="H20" s="1184"/>
      <c r="I20" s="599" t="s">
        <v>443</v>
      </c>
      <c r="J20" s="595"/>
      <c r="K20" s="1068"/>
      <c r="L20" s="1068"/>
      <c r="M20" s="1068"/>
      <c r="N20" s="1191">
        <f>+M11-N13-N14-N15-N16-N17-N18-N19</f>
        <v>19725489</v>
      </c>
      <c r="T20" s="1125"/>
      <c r="U20" s="1125"/>
      <c r="V20" s="1125"/>
      <c r="W20" s="1125"/>
      <c r="X20" s="1125"/>
      <c r="Y20" s="1125"/>
      <c r="Z20" s="1125"/>
      <c r="AA20" s="1125"/>
      <c r="AB20" s="1125"/>
      <c r="AC20" s="1125"/>
      <c r="AD20" s="1125"/>
      <c r="AE20" s="1125"/>
      <c r="AF20" s="1125"/>
      <c r="AG20" s="1125"/>
    </row>
    <row r="21" spans="1:33" s="366" customFormat="1" ht="19.5" thickBot="1" x14ac:dyDescent="0.35">
      <c r="A21" s="1195"/>
      <c r="B21" s="1187"/>
      <c r="C21" s="1187"/>
      <c r="D21" s="1188"/>
      <c r="E21" s="1192"/>
      <c r="F21" s="1193"/>
      <c r="G21" s="1068"/>
      <c r="H21" s="1185"/>
      <c r="I21" s="1186"/>
      <c r="J21" s="1187"/>
      <c r="K21" s="1188"/>
      <c r="L21" s="1188"/>
      <c r="M21" s="1188"/>
      <c r="N21" s="1189"/>
      <c r="T21" s="1125"/>
      <c r="U21" s="1125"/>
      <c r="V21" s="1125"/>
      <c r="W21" s="1125"/>
      <c r="X21" s="1125"/>
      <c r="Y21" s="1125"/>
      <c r="Z21" s="1125"/>
      <c r="AA21" s="1125"/>
      <c r="AB21" s="1125"/>
      <c r="AC21" s="1125"/>
      <c r="AD21" s="1125"/>
      <c r="AE21" s="1125"/>
      <c r="AF21" s="1125"/>
      <c r="AG21" s="1125"/>
    </row>
    <row r="22" spans="1:33" s="366" customFormat="1" x14ac:dyDescent="0.3">
      <c r="A22" s="791"/>
      <c r="D22" s="791"/>
      <c r="E22" s="1122"/>
      <c r="F22" s="1122"/>
      <c r="G22" s="1068"/>
      <c r="H22" s="943"/>
      <c r="I22" s="385"/>
      <c r="K22" s="791"/>
      <c r="L22" s="791"/>
      <c r="M22" s="791"/>
      <c r="N22" s="943"/>
      <c r="T22" s="1125"/>
      <c r="U22" s="1125"/>
      <c r="V22" s="1125"/>
      <c r="W22" s="1125"/>
      <c r="X22" s="1125"/>
      <c r="Y22" s="1125"/>
      <c r="Z22" s="1125"/>
      <c r="AA22" s="1125"/>
      <c r="AB22" s="1125"/>
      <c r="AC22" s="1125"/>
      <c r="AD22" s="1125"/>
      <c r="AE22" s="1125"/>
      <c r="AF22" s="1125"/>
      <c r="AG22" s="1125"/>
    </row>
    <row r="23" spans="1:33" s="366" customFormat="1" x14ac:dyDescent="0.3">
      <c r="A23" s="791"/>
      <c r="D23" s="791"/>
      <c r="E23" s="1122"/>
      <c r="F23" s="1122"/>
      <c r="G23" s="1068"/>
      <c r="H23" s="943"/>
      <c r="I23" s="385"/>
      <c r="K23" s="791"/>
      <c r="L23" s="791"/>
      <c r="M23" s="791"/>
      <c r="N23" s="943"/>
      <c r="T23" s="1125"/>
      <c r="U23" s="1125"/>
      <c r="V23" s="1125"/>
      <c r="W23" s="1125"/>
      <c r="X23" s="1125"/>
      <c r="Y23" s="1125"/>
      <c r="Z23" s="1125"/>
      <c r="AA23" s="1125"/>
      <c r="AB23" s="1125"/>
      <c r="AC23" s="1125"/>
      <c r="AD23" s="1125"/>
      <c r="AE23" s="1125"/>
      <c r="AF23" s="1125"/>
      <c r="AG23" s="1125"/>
    </row>
    <row r="24" spans="1:33" s="366" customFormat="1" x14ac:dyDescent="0.3">
      <c r="A24" s="791"/>
      <c r="D24" s="791"/>
      <c r="E24" s="1122"/>
      <c r="F24" s="1122"/>
      <c r="G24" s="1068"/>
      <c r="H24" s="943"/>
      <c r="I24" s="385"/>
      <c r="K24" s="791"/>
      <c r="L24" s="791"/>
      <c r="M24" s="791"/>
      <c r="N24" s="943"/>
      <c r="T24" s="1125"/>
      <c r="U24" s="1125"/>
      <c r="V24" s="1125"/>
      <c r="W24" s="1125"/>
      <c r="X24" s="1125"/>
      <c r="Y24" s="1125"/>
      <c r="Z24" s="1125"/>
      <c r="AA24" s="1125"/>
      <c r="AB24" s="1125"/>
      <c r="AC24" s="1125"/>
      <c r="AD24" s="1125"/>
      <c r="AE24" s="1125"/>
      <c r="AF24" s="1125"/>
      <c r="AG24" s="1125"/>
    </row>
    <row r="25" spans="1:33" s="366" customFormat="1" x14ac:dyDescent="0.3">
      <c r="A25" s="791"/>
      <c r="D25" s="791"/>
      <c r="E25" s="1122"/>
      <c r="F25" s="1122"/>
      <c r="G25" s="1068"/>
      <c r="H25" s="943"/>
      <c r="I25" s="385"/>
      <c r="K25" s="791"/>
      <c r="L25" s="791"/>
      <c r="M25" s="791"/>
      <c r="N25" s="943"/>
      <c r="T25" s="1125"/>
      <c r="U25" s="1125"/>
      <c r="V25" s="1125"/>
      <c r="W25" s="1125"/>
      <c r="X25" s="1125"/>
      <c r="Y25" s="1125"/>
      <c r="Z25" s="1125"/>
      <c r="AA25" s="1125"/>
      <c r="AB25" s="1125"/>
      <c r="AC25" s="1125"/>
      <c r="AD25" s="1125"/>
      <c r="AE25" s="1125"/>
      <c r="AF25" s="1125"/>
      <c r="AG25" s="1125"/>
    </row>
    <row r="26" spans="1:33" s="366" customFormat="1" x14ac:dyDescent="0.3">
      <c r="A26" s="791"/>
      <c r="D26" s="791"/>
      <c r="E26" s="1122"/>
      <c r="F26" s="1122"/>
      <c r="G26" s="1068"/>
      <c r="H26" s="943"/>
      <c r="I26" s="385"/>
      <c r="K26" s="791"/>
      <c r="L26" s="791"/>
      <c r="M26" s="791"/>
      <c r="N26" s="943"/>
      <c r="T26" s="1125"/>
      <c r="U26" s="1125"/>
      <c r="V26" s="1125"/>
      <c r="W26" s="1125"/>
      <c r="X26" s="1125"/>
      <c r="Y26" s="1125"/>
      <c r="Z26" s="1125"/>
      <c r="AA26" s="1125"/>
      <c r="AB26" s="1125"/>
      <c r="AC26" s="1125"/>
      <c r="AD26" s="1125"/>
      <c r="AE26" s="1125"/>
      <c r="AF26" s="1125"/>
      <c r="AG26" s="1125"/>
    </row>
    <row r="27" spans="1:33" s="366" customFormat="1" x14ac:dyDescent="0.3">
      <c r="A27" s="791"/>
      <c r="D27" s="791"/>
      <c r="E27" s="1122"/>
      <c r="F27" s="1122"/>
      <c r="G27" s="1068"/>
      <c r="H27" s="943"/>
      <c r="I27" s="385"/>
      <c r="K27" s="791"/>
      <c r="L27" s="791"/>
      <c r="M27" s="791"/>
      <c r="N27" s="943"/>
      <c r="T27" s="1125"/>
      <c r="U27" s="1125"/>
      <c r="V27" s="1125"/>
      <c r="W27" s="1125"/>
      <c r="X27" s="1125"/>
      <c r="Y27" s="1125"/>
      <c r="Z27" s="1125"/>
      <c r="AA27" s="1125"/>
      <c r="AB27" s="1125"/>
      <c r="AC27" s="1125"/>
      <c r="AD27" s="1125"/>
      <c r="AE27" s="1125"/>
      <c r="AF27" s="1125"/>
      <c r="AG27" s="1125"/>
    </row>
    <row r="28" spans="1:33" s="366" customFormat="1" x14ac:dyDescent="0.3">
      <c r="A28" s="791"/>
      <c r="D28" s="791"/>
      <c r="E28" s="1122"/>
      <c r="F28" s="1122"/>
      <c r="G28" s="1068"/>
      <c r="H28" s="943"/>
      <c r="I28" s="385"/>
      <c r="K28" s="791"/>
      <c r="L28" s="791"/>
      <c r="M28" s="791"/>
      <c r="N28" s="943"/>
      <c r="T28" s="1125"/>
      <c r="U28" s="1125"/>
      <c r="V28" s="1125"/>
      <c r="W28" s="1125"/>
      <c r="X28" s="1125"/>
      <c r="Y28" s="1125"/>
      <c r="Z28" s="1125"/>
      <c r="AA28" s="1125"/>
      <c r="AB28" s="1125"/>
      <c r="AC28" s="1125"/>
      <c r="AD28" s="1125"/>
      <c r="AE28" s="1125"/>
      <c r="AF28" s="1125"/>
      <c r="AG28" s="1125"/>
    </row>
    <row r="29" spans="1:33" s="366" customFormat="1" x14ac:dyDescent="0.3">
      <c r="A29" s="791"/>
      <c r="D29" s="791"/>
      <c r="E29" s="1122"/>
      <c r="F29" s="1122"/>
      <c r="G29" s="1068"/>
      <c r="H29" s="943"/>
      <c r="I29" s="385"/>
      <c r="K29" s="791"/>
      <c r="L29" s="791"/>
      <c r="M29" s="791"/>
      <c r="N29" s="943"/>
      <c r="T29" s="1125"/>
      <c r="U29" s="1125"/>
      <c r="V29" s="1125"/>
      <c r="W29" s="1125"/>
      <c r="X29" s="1125"/>
      <c r="Y29" s="1125"/>
      <c r="Z29" s="1125"/>
      <c r="AA29" s="1125"/>
      <c r="AB29" s="1125"/>
      <c r="AC29" s="1125"/>
      <c r="AD29" s="1125"/>
      <c r="AE29" s="1125"/>
      <c r="AF29" s="1125"/>
      <c r="AG29" s="1125"/>
    </row>
    <row r="30" spans="1:33" s="366" customFormat="1" x14ac:dyDescent="0.3">
      <c r="A30" s="791"/>
      <c r="D30" s="791"/>
      <c r="E30" s="1122"/>
      <c r="F30" s="1122"/>
      <c r="G30" s="1068"/>
      <c r="H30" s="943"/>
      <c r="I30" s="385"/>
      <c r="K30" s="791"/>
      <c r="L30" s="791"/>
      <c r="M30" s="791"/>
      <c r="N30" s="943"/>
      <c r="T30" s="1125"/>
      <c r="U30" s="1125"/>
      <c r="V30" s="1125"/>
      <c r="W30" s="1125"/>
      <c r="X30" s="1125"/>
      <c r="Y30" s="1125"/>
      <c r="Z30" s="1125"/>
      <c r="AA30" s="1125"/>
      <c r="AB30" s="1125"/>
      <c r="AC30" s="1125"/>
      <c r="AD30" s="1125"/>
      <c r="AE30" s="1125"/>
      <c r="AF30" s="1125"/>
      <c r="AG30" s="1125"/>
    </row>
  </sheetData>
  <mergeCells count="17">
    <mergeCell ref="E17:F17"/>
    <mergeCell ref="E18:F18"/>
    <mergeCell ref="E19:F19"/>
    <mergeCell ref="M9:N9"/>
    <mergeCell ref="M11:N11"/>
    <mergeCell ref="E12:F12"/>
    <mergeCell ref="E15:F15"/>
    <mergeCell ref="L15:M15"/>
    <mergeCell ref="L16:M16"/>
    <mergeCell ref="E8:F8"/>
    <mergeCell ref="A2:F2"/>
    <mergeCell ref="H2:N2"/>
    <mergeCell ref="A1:N1"/>
    <mergeCell ref="M3:N3"/>
    <mergeCell ref="E4:F4"/>
    <mergeCell ref="M4:N4"/>
    <mergeCell ref="E7:F7"/>
  </mergeCells>
  <pageMargins left="0.43307086614173229" right="0.43307086614173229" top="1.1417322834645669" bottom="0" header="0.31496062992125984" footer="0.31496062992125984"/>
  <pageSetup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HP32"/>
  <sheetViews>
    <sheetView zoomScaleNormal="100" workbookViewId="0">
      <selection activeCell="X14" sqref="X13:Y14"/>
    </sheetView>
  </sheetViews>
  <sheetFormatPr defaultColWidth="9.140625" defaultRowHeight="18.75" x14ac:dyDescent="0.3"/>
  <cols>
    <col min="1" max="1" width="20.140625" style="1266" customWidth="1"/>
    <col min="2" max="2" width="8.140625" style="1266" hidden="1" customWidth="1"/>
    <col min="3" max="4" width="8.5703125" style="1266" hidden="1" customWidth="1"/>
    <col min="5" max="5" width="8.7109375" style="1266" hidden="1" customWidth="1"/>
    <col min="6" max="6" width="9.85546875" style="1266" hidden="1" customWidth="1"/>
    <col min="7" max="7" width="8.5703125" style="1266" hidden="1" customWidth="1"/>
    <col min="8" max="9" width="8.140625" style="1266" hidden="1" customWidth="1"/>
    <col min="10" max="10" width="8.5703125" style="1266" hidden="1" customWidth="1"/>
    <col min="11" max="12" width="7.140625" style="1266" hidden="1" customWidth="1"/>
    <col min="13" max="13" width="7.140625" style="1266" customWidth="1"/>
    <col min="14" max="15" width="6.5703125" style="1266" customWidth="1"/>
    <col min="16" max="16" width="7.42578125" style="1266" customWidth="1"/>
    <col min="17" max="17" width="7.7109375" style="1266" customWidth="1"/>
    <col min="18" max="18" width="7.5703125" style="1376" customWidth="1"/>
    <col min="19" max="19" width="9.85546875" style="1266" hidden="1" customWidth="1"/>
    <col min="20" max="20" width="7.140625" style="1266" customWidth="1"/>
    <col min="21" max="21" width="8.140625" style="1266" hidden="1" customWidth="1"/>
    <col min="22" max="22" width="7.42578125" style="1266" customWidth="1"/>
    <col min="23" max="23" width="7.28515625" style="1266" customWidth="1"/>
    <col min="24" max="24" width="7.140625" style="1266" customWidth="1"/>
    <col min="25" max="25" width="6.42578125" style="1266" customWidth="1"/>
    <col min="26" max="26" width="7.28515625" style="1266" customWidth="1"/>
    <col min="27" max="30" width="7.7109375" style="1266" customWidth="1"/>
    <col min="31" max="35" width="7.5703125" style="1266" customWidth="1"/>
    <col min="36" max="36" width="7.7109375" style="1266" customWidth="1"/>
    <col min="37" max="37" width="7.28515625" style="1266" customWidth="1"/>
    <col min="38" max="38" width="7.85546875" style="1266" customWidth="1"/>
    <col min="39" max="39" width="27.5703125" style="1266" customWidth="1"/>
    <col min="40" max="42" width="7.28515625" style="1266" customWidth="1"/>
    <col min="43" max="43" width="7.28515625" style="1376" customWidth="1"/>
    <col min="44" max="45" width="5.28515625" style="1266" customWidth="1"/>
    <col min="46" max="46" width="6" style="1266" customWidth="1"/>
    <col min="47" max="47" width="6.5703125" style="1376" customWidth="1"/>
    <col min="48" max="54" width="7.85546875" style="1266" customWidth="1"/>
    <col min="55" max="55" width="8.140625" style="1376" customWidth="1"/>
    <col min="56" max="56" width="11.7109375" style="1266" customWidth="1"/>
    <col min="57" max="16384" width="9.140625" style="1266"/>
  </cols>
  <sheetData>
    <row r="1" spans="1:224" ht="19.5" thickBot="1" x14ac:dyDescent="0.35"/>
    <row r="2" spans="1:224" ht="19.5" thickBot="1" x14ac:dyDescent="0.35">
      <c r="A2" s="3193" t="s">
        <v>521</v>
      </c>
      <c r="B2" s="3194"/>
      <c r="C2" s="3194"/>
      <c r="D2" s="3194"/>
      <c r="E2" s="3194"/>
      <c r="F2" s="3194"/>
      <c r="G2" s="3194"/>
      <c r="H2" s="3194"/>
      <c r="I2" s="3194"/>
      <c r="J2" s="3194"/>
      <c r="K2" s="3194"/>
      <c r="L2" s="3194"/>
      <c r="M2" s="3194"/>
      <c r="N2" s="3194"/>
      <c r="O2" s="3194"/>
      <c r="P2" s="3194"/>
      <c r="Q2" s="3194"/>
      <c r="R2" s="3194"/>
      <c r="S2" s="3194"/>
      <c r="T2" s="3194"/>
      <c r="U2" s="3194"/>
      <c r="V2" s="3194"/>
      <c r="W2" s="3194"/>
      <c r="X2" s="3194"/>
      <c r="Y2" s="3194"/>
      <c r="Z2" s="3194"/>
      <c r="AA2" s="3194"/>
      <c r="AB2" s="3194"/>
      <c r="AC2" s="3194"/>
      <c r="AD2" s="3194"/>
      <c r="AE2" s="3194"/>
      <c r="AF2" s="3194"/>
      <c r="AG2" s="3194"/>
      <c r="AH2" s="3194"/>
      <c r="AI2" s="3194"/>
      <c r="AJ2" s="3194"/>
      <c r="AK2" s="3194"/>
      <c r="AL2" s="3195"/>
      <c r="AM2" s="3193" t="s">
        <v>521</v>
      </c>
      <c r="AN2" s="3194"/>
      <c r="AO2" s="3194"/>
      <c r="AP2" s="3194"/>
      <c r="AQ2" s="3194"/>
      <c r="AR2" s="3194"/>
      <c r="AS2" s="3194"/>
      <c r="AT2" s="3194"/>
      <c r="AU2" s="3194"/>
      <c r="AV2" s="3194"/>
      <c r="AW2" s="3194"/>
      <c r="AX2" s="3194"/>
      <c r="AY2" s="3194"/>
      <c r="AZ2" s="3194"/>
      <c r="BA2" s="3194"/>
      <c r="BB2" s="3194"/>
      <c r="BC2" s="3194"/>
      <c r="BD2" s="3195"/>
    </row>
    <row r="3" spans="1:224" ht="19.5" thickBot="1" x14ac:dyDescent="0.35">
      <c r="A3" s="1410" t="s">
        <v>145</v>
      </c>
      <c r="B3" s="1411"/>
      <c r="C3" s="1412"/>
      <c r="D3" s="1413"/>
      <c r="E3" s="1413"/>
      <c r="F3" s="1413"/>
      <c r="G3" s="1413"/>
      <c r="H3" s="1413"/>
      <c r="I3" s="1413"/>
      <c r="J3" s="1413"/>
      <c r="K3" s="3190" t="s">
        <v>522</v>
      </c>
      <c r="L3" s="3190"/>
      <c r="M3" s="3190"/>
      <c r="N3" s="3190"/>
      <c r="O3" s="3190" t="s">
        <v>523</v>
      </c>
      <c r="P3" s="3190"/>
      <c r="Q3" s="3190"/>
      <c r="R3" s="3190"/>
      <c r="S3" s="3189" t="s">
        <v>524</v>
      </c>
      <c r="T3" s="3190"/>
      <c r="U3" s="3190"/>
      <c r="V3" s="3191"/>
      <c r="W3" s="3190" t="s">
        <v>525</v>
      </c>
      <c r="X3" s="3190"/>
      <c r="Y3" s="3190"/>
      <c r="Z3" s="3190"/>
      <c r="AA3" s="3189" t="s">
        <v>526</v>
      </c>
      <c r="AB3" s="3190"/>
      <c r="AC3" s="3190"/>
      <c r="AD3" s="3191"/>
      <c r="AE3" s="3190" t="s">
        <v>527</v>
      </c>
      <c r="AF3" s="3190"/>
      <c r="AG3" s="3190"/>
      <c r="AH3" s="3190"/>
      <c r="AI3" s="3189" t="s">
        <v>528</v>
      </c>
      <c r="AJ3" s="3190"/>
      <c r="AK3" s="3190"/>
      <c r="AL3" s="3190"/>
      <c r="AM3" s="1410" t="s">
        <v>145</v>
      </c>
      <c r="AN3" s="3190" t="s">
        <v>529</v>
      </c>
      <c r="AO3" s="3190"/>
      <c r="AP3" s="3190"/>
      <c r="AQ3" s="3190"/>
      <c r="AR3" s="3190" t="s">
        <v>530</v>
      </c>
      <c r="AS3" s="3190"/>
      <c r="AT3" s="3190"/>
      <c r="AU3" s="3190"/>
      <c r="AV3" s="3190" t="s">
        <v>531</v>
      </c>
      <c r="AW3" s="3190"/>
      <c r="AX3" s="3190"/>
      <c r="AY3" s="3190"/>
      <c r="AZ3" s="3190" t="s">
        <v>532</v>
      </c>
      <c r="BA3" s="3190"/>
      <c r="BB3" s="3190"/>
      <c r="BC3" s="3190"/>
      <c r="BD3" s="3196" t="s">
        <v>28</v>
      </c>
      <c r="BE3" s="1267"/>
      <c r="BF3" s="1267"/>
      <c r="BG3" s="1267"/>
      <c r="BH3" s="1267"/>
      <c r="BI3" s="1267"/>
      <c r="BJ3" s="1267"/>
      <c r="BK3" s="1267"/>
      <c r="BL3" s="1267"/>
      <c r="BM3" s="1267"/>
      <c r="BN3" s="1267"/>
      <c r="BO3" s="1267"/>
      <c r="BP3" s="1267"/>
      <c r="BQ3" s="1267"/>
      <c r="BR3" s="1267"/>
      <c r="BS3" s="1267"/>
      <c r="BT3" s="1267"/>
      <c r="BU3" s="1267"/>
      <c r="BV3" s="1267"/>
      <c r="BW3" s="1267"/>
      <c r="BX3" s="1267"/>
      <c r="BY3" s="1267"/>
      <c r="BZ3" s="1267"/>
      <c r="CA3" s="1267"/>
      <c r="CB3" s="1267"/>
      <c r="CC3" s="1267"/>
      <c r="CD3" s="1267"/>
      <c r="CE3" s="1267"/>
      <c r="CF3" s="1267"/>
      <c r="CG3" s="1267"/>
      <c r="CH3" s="1267"/>
      <c r="CI3" s="1267"/>
      <c r="CJ3" s="1267"/>
      <c r="CK3" s="1267"/>
      <c r="CL3" s="1267"/>
      <c r="CM3" s="1267"/>
      <c r="CN3" s="1267"/>
      <c r="CO3" s="1267"/>
      <c r="CP3" s="1267"/>
      <c r="CQ3" s="1267"/>
      <c r="CR3" s="1267"/>
      <c r="CS3" s="1267"/>
      <c r="CT3" s="1267"/>
      <c r="CU3" s="1267"/>
      <c r="CV3" s="1267"/>
      <c r="CW3" s="1267"/>
      <c r="CX3" s="1267"/>
      <c r="CY3" s="1267"/>
      <c r="CZ3" s="1267"/>
      <c r="DA3" s="1267"/>
      <c r="DB3" s="1267"/>
      <c r="DC3" s="1267"/>
      <c r="DD3" s="1267"/>
      <c r="DE3" s="1267"/>
      <c r="DF3" s="1267"/>
      <c r="DG3" s="1267"/>
      <c r="DH3" s="1267"/>
      <c r="DI3" s="1267"/>
      <c r="DJ3" s="1267"/>
      <c r="DK3" s="1267"/>
      <c r="DL3" s="1267"/>
      <c r="DM3" s="1267"/>
      <c r="DN3" s="1267"/>
      <c r="DO3" s="1267"/>
      <c r="DP3" s="1267"/>
      <c r="DQ3" s="1267"/>
      <c r="DR3" s="1267"/>
      <c r="DS3" s="1267"/>
      <c r="DT3" s="1267"/>
      <c r="DU3" s="1267"/>
      <c r="DV3" s="1267"/>
      <c r="DW3" s="1267"/>
      <c r="DX3" s="1267"/>
      <c r="DY3" s="1267"/>
      <c r="DZ3" s="1267"/>
      <c r="EA3" s="1267"/>
      <c r="EB3" s="1267"/>
      <c r="EC3" s="1267"/>
      <c r="ED3" s="1267"/>
      <c r="EE3" s="1267"/>
      <c r="EF3" s="1267"/>
      <c r="EG3" s="1267"/>
      <c r="EH3" s="1267"/>
      <c r="EI3" s="1267"/>
      <c r="EJ3" s="1267"/>
      <c r="EK3" s="1267"/>
      <c r="EL3" s="1267"/>
      <c r="EM3" s="1267"/>
      <c r="EN3" s="1267"/>
      <c r="EO3" s="1267"/>
      <c r="EP3" s="1267"/>
      <c r="EQ3" s="1267"/>
      <c r="ER3" s="1267"/>
      <c r="ES3" s="1267"/>
      <c r="ET3" s="1267"/>
      <c r="EU3" s="1267"/>
      <c r="EV3" s="1267"/>
      <c r="EW3" s="1267"/>
      <c r="EX3" s="1267"/>
      <c r="EY3" s="1267"/>
      <c r="EZ3" s="1267"/>
      <c r="FA3" s="1267"/>
      <c r="FB3" s="1267"/>
      <c r="FC3" s="1267"/>
      <c r="FD3" s="1267"/>
      <c r="FE3" s="1267"/>
      <c r="FF3" s="1267"/>
      <c r="FG3" s="1267"/>
      <c r="FH3" s="1267"/>
      <c r="FI3" s="1267"/>
      <c r="FJ3" s="1267"/>
      <c r="FK3" s="1267"/>
      <c r="FL3" s="1267"/>
      <c r="FM3" s="1267"/>
      <c r="FN3" s="1267"/>
      <c r="FO3" s="1267"/>
      <c r="FP3" s="1267"/>
      <c r="FQ3" s="1267"/>
      <c r="FR3" s="1267"/>
      <c r="FS3" s="1267"/>
      <c r="FT3" s="1267"/>
      <c r="FU3" s="1267"/>
      <c r="FV3" s="1267"/>
      <c r="FW3" s="1267"/>
      <c r="FX3" s="1267"/>
      <c r="FY3" s="1267"/>
      <c r="FZ3" s="1267"/>
      <c r="GA3" s="1267"/>
      <c r="GB3" s="1267"/>
      <c r="GC3" s="1267"/>
      <c r="GD3" s="1267"/>
      <c r="GE3" s="1267"/>
      <c r="GF3" s="1267"/>
      <c r="GG3" s="1267"/>
      <c r="GH3" s="1267"/>
      <c r="GI3" s="1267"/>
      <c r="GJ3" s="1267"/>
      <c r="GK3" s="1267"/>
      <c r="GL3" s="1267"/>
      <c r="GM3" s="1267"/>
      <c r="GN3" s="1267"/>
      <c r="GO3" s="1267"/>
      <c r="GP3" s="1267"/>
      <c r="GQ3" s="1267"/>
      <c r="GR3" s="1267"/>
      <c r="GS3" s="1267"/>
      <c r="GT3" s="1267"/>
      <c r="GU3" s="1267"/>
      <c r="GV3" s="1267"/>
      <c r="GW3" s="1267"/>
      <c r="GX3" s="1267"/>
      <c r="GY3" s="1267"/>
      <c r="GZ3" s="1267"/>
      <c r="HA3" s="1267"/>
      <c r="HB3" s="1267"/>
      <c r="HC3" s="1267"/>
      <c r="HD3" s="1267"/>
      <c r="HE3" s="1267"/>
      <c r="HF3" s="1267"/>
      <c r="HG3" s="1267"/>
      <c r="HH3" s="1267"/>
      <c r="HI3" s="1267"/>
      <c r="HJ3" s="1267"/>
      <c r="HK3" s="1267"/>
      <c r="HL3" s="1267"/>
      <c r="HM3" s="1267"/>
      <c r="HN3" s="1267"/>
      <c r="HO3" s="1267"/>
      <c r="HP3" s="1267"/>
    </row>
    <row r="4" spans="1:224" x14ac:dyDescent="0.3">
      <c r="A4" s="1389" t="s">
        <v>0</v>
      </c>
      <c r="B4" s="1268" t="s">
        <v>533</v>
      </c>
      <c r="C4" s="1269" t="s">
        <v>534</v>
      </c>
      <c r="D4" s="1269" t="s">
        <v>535</v>
      </c>
      <c r="E4" s="1268" t="s">
        <v>536</v>
      </c>
      <c r="F4" s="1269" t="s">
        <v>537</v>
      </c>
      <c r="G4" s="1269" t="s">
        <v>538</v>
      </c>
      <c r="H4" s="1269" t="s">
        <v>539</v>
      </c>
      <c r="I4" s="1269" t="s">
        <v>540</v>
      </c>
      <c r="J4" s="1270" t="s">
        <v>541</v>
      </c>
      <c r="K4" s="1271" t="s">
        <v>542</v>
      </c>
      <c r="L4" s="1270" t="s">
        <v>543</v>
      </c>
      <c r="M4" s="1379" t="s">
        <v>544</v>
      </c>
      <c r="N4" s="1273" t="s">
        <v>28</v>
      </c>
      <c r="O4" s="1274" t="s">
        <v>545</v>
      </c>
      <c r="P4" s="1275" t="s">
        <v>546</v>
      </c>
      <c r="Q4" s="1272" t="s">
        <v>547</v>
      </c>
      <c r="R4" s="1276" t="s">
        <v>28</v>
      </c>
      <c r="S4" s="1274" t="s">
        <v>542</v>
      </c>
      <c r="T4" s="1275" t="s">
        <v>543</v>
      </c>
      <c r="U4" s="1272" t="s">
        <v>544</v>
      </c>
      <c r="V4" s="1273" t="s">
        <v>28</v>
      </c>
      <c r="W4" s="1274" t="s">
        <v>542</v>
      </c>
      <c r="X4" s="1275" t="s">
        <v>543</v>
      </c>
      <c r="Y4" s="1272" t="s">
        <v>544</v>
      </c>
      <c r="Z4" s="1273" t="s">
        <v>28</v>
      </c>
      <c r="AA4" s="1274" t="s">
        <v>542</v>
      </c>
      <c r="AB4" s="1275" t="s">
        <v>543</v>
      </c>
      <c r="AC4" s="1272" t="s">
        <v>544</v>
      </c>
      <c r="AD4" s="1277" t="s">
        <v>28</v>
      </c>
      <c r="AE4" s="1274" t="s">
        <v>542</v>
      </c>
      <c r="AF4" s="1275" t="s">
        <v>543</v>
      </c>
      <c r="AG4" s="1272" t="s">
        <v>544</v>
      </c>
      <c r="AH4" s="1273" t="s">
        <v>28</v>
      </c>
      <c r="AI4" s="1278" t="s">
        <v>542</v>
      </c>
      <c r="AJ4" s="1275" t="s">
        <v>543</v>
      </c>
      <c r="AK4" s="1272" t="s">
        <v>544</v>
      </c>
      <c r="AL4" s="1273" t="s">
        <v>28</v>
      </c>
      <c r="AM4" s="1381" t="s">
        <v>0</v>
      </c>
      <c r="AN4" s="1274" t="s">
        <v>542</v>
      </c>
      <c r="AO4" s="1275" t="s">
        <v>543</v>
      </c>
      <c r="AP4" s="1272" t="s">
        <v>544</v>
      </c>
      <c r="AQ4" s="1273" t="s">
        <v>28</v>
      </c>
      <c r="AR4" s="1274" t="s">
        <v>542</v>
      </c>
      <c r="AS4" s="1275" t="s">
        <v>543</v>
      </c>
      <c r="AT4" s="1272" t="s">
        <v>544</v>
      </c>
      <c r="AU4" s="1273" t="s">
        <v>28</v>
      </c>
      <c r="AV4" s="1274" t="s">
        <v>542</v>
      </c>
      <c r="AW4" s="1275" t="s">
        <v>543</v>
      </c>
      <c r="AX4" s="1272" t="s">
        <v>544</v>
      </c>
      <c r="AY4" s="1273" t="s">
        <v>28</v>
      </c>
      <c r="AZ4" s="1279" t="s">
        <v>542</v>
      </c>
      <c r="BA4" s="1280" t="s">
        <v>543</v>
      </c>
      <c r="BB4" s="1281" t="s">
        <v>544</v>
      </c>
      <c r="BC4" s="1273" t="s">
        <v>28</v>
      </c>
      <c r="BD4" s="3197"/>
    </row>
    <row r="5" spans="1:224" x14ac:dyDescent="0.3">
      <c r="A5" s="1390" t="s">
        <v>28</v>
      </c>
      <c r="B5" s="1282">
        <f>+B6+B26</f>
        <v>0</v>
      </c>
      <c r="C5" s="1282">
        <f t="shared" ref="C5:J5" si="0">+C6+C26</f>
        <v>0</v>
      </c>
      <c r="D5" s="1282">
        <f t="shared" si="0"/>
        <v>0</v>
      </c>
      <c r="E5" s="1282">
        <f t="shared" si="0"/>
        <v>0</v>
      </c>
      <c r="F5" s="1282">
        <f t="shared" si="0"/>
        <v>0</v>
      </c>
      <c r="G5" s="1282">
        <f t="shared" si="0"/>
        <v>0</v>
      </c>
      <c r="H5" s="1282">
        <f t="shared" si="0"/>
        <v>0</v>
      </c>
      <c r="I5" s="1282">
        <f t="shared" si="0"/>
        <v>0</v>
      </c>
      <c r="J5" s="1283">
        <f t="shared" si="0"/>
        <v>0</v>
      </c>
      <c r="K5" s="1282">
        <f>+K6+K26</f>
        <v>0</v>
      </c>
      <c r="L5" s="1283">
        <f>+L6+L26</f>
        <v>0</v>
      </c>
      <c r="M5" s="1286">
        <f>+M6+M26</f>
        <v>80000</v>
      </c>
      <c r="N5" s="1285">
        <f>SUM(K5:M5)</f>
        <v>80000</v>
      </c>
      <c r="O5" s="1289">
        <f>+O6+O26</f>
        <v>0</v>
      </c>
      <c r="P5" s="1284">
        <f>+P6+P26</f>
        <v>0</v>
      </c>
      <c r="Q5" s="1284">
        <f>+Q6+Q26</f>
        <v>565000</v>
      </c>
      <c r="R5" s="1285">
        <f>+O5+Q5+P5</f>
        <v>565000</v>
      </c>
      <c r="S5" s="1284">
        <f>+S6+S26</f>
        <v>0</v>
      </c>
      <c r="T5" s="1284">
        <f>+T6+T26</f>
        <v>122200</v>
      </c>
      <c r="U5" s="1284">
        <f>+U6+U26</f>
        <v>0</v>
      </c>
      <c r="V5" s="1285">
        <f>SUM(S5:U5)</f>
        <v>122200</v>
      </c>
      <c r="W5" s="1284">
        <f>+W6+W26</f>
        <v>61550</v>
      </c>
      <c r="X5" s="1284">
        <f>+X6+X26</f>
        <v>171360</v>
      </c>
      <c r="Y5" s="1284">
        <f>+Y6+Y26</f>
        <v>34920</v>
      </c>
      <c r="Z5" s="1285">
        <f>SUM(W5:Y5)</f>
        <v>267830</v>
      </c>
      <c r="AA5" s="1284">
        <f>+AA6+AA26</f>
        <v>71000</v>
      </c>
      <c r="AB5" s="1284">
        <f>+AB6+AB26</f>
        <v>54000</v>
      </c>
      <c r="AC5" s="1284">
        <f>+AC6+AC26</f>
        <v>58000</v>
      </c>
      <c r="AD5" s="1287">
        <f>SUM(AA5:AC5)</f>
        <v>183000</v>
      </c>
      <c r="AE5" s="1286">
        <f>+AE6+AE26</f>
        <v>4700</v>
      </c>
      <c r="AF5" s="1284">
        <f>+AF6+AF26</f>
        <v>7500</v>
      </c>
      <c r="AG5" s="1284">
        <f>+AG6+AG26</f>
        <v>131100</v>
      </c>
      <c r="AH5" s="1285">
        <f>SUM(AE5:AG5)</f>
        <v>143300</v>
      </c>
      <c r="AI5" s="1288">
        <f>+AI6+AI26</f>
        <v>56400</v>
      </c>
      <c r="AJ5" s="1284">
        <f>+AJ6+AJ26</f>
        <v>50480</v>
      </c>
      <c r="AK5" s="1284">
        <f>+AK6+AK26</f>
        <v>34160</v>
      </c>
      <c r="AL5" s="1285">
        <f>SUM(AI5:AK5)</f>
        <v>141040</v>
      </c>
      <c r="AM5" s="1382" t="s">
        <v>28</v>
      </c>
      <c r="AN5" s="1289">
        <f>+AN6+AN26</f>
        <v>1500</v>
      </c>
      <c r="AO5" s="1284">
        <f>+AO6+AO26</f>
        <v>1500</v>
      </c>
      <c r="AP5" s="1284">
        <f>+AP6+AP26</f>
        <v>1500</v>
      </c>
      <c r="AQ5" s="1285">
        <f>+AN5+AO5+AP5</f>
        <v>4500</v>
      </c>
      <c r="AR5" s="1289">
        <f>+AR6+AR26</f>
        <v>500</v>
      </c>
      <c r="AS5" s="1284">
        <f>+AS6+AS26</f>
        <v>500</v>
      </c>
      <c r="AT5" s="1284">
        <f>+AT6+AT26</f>
        <v>500</v>
      </c>
      <c r="AU5" s="1285">
        <f>+AR5+AS5+AT5</f>
        <v>1500</v>
      </c>
      <c r="AV5" s="1284">
        <f>+AV6+AV26</f>
        <v>18500</v>
      </c>
      <c r="AW5" s="1284">
        <f>+AW6+AW26</f>
        <v>192500</v>
      </c>
      <c r="AX5" s="1284">
        <f>+AX6+AX26</f>
        <v>109290</v>
      </c>
      <c r="AY5" s="1285">
        <f>SUM(AV5:AX5)</f>
        <v>320290</v>
      </c>
      <c r="AZ5" s="1289">
        <f>+AZ6+AZ26</f>
        <v>156750</v>
      </c>
      <c r="BA5" s="1284">
        <f>+BA6+BA26</f>
        <v>64250</v>
      </c>
      <c r="BB5" s="1284">
        <f>+BB6+BB26</f>
        <v>39350</v>
      </c>
      <c r="BC5" s="1285">
        <f>SUM(AZ5:BB5)</f>
        <v>260350</v>
      </c>
      <c r="BD5" s="1414">
        <f>++N5+R5+V5+Z5+AD5+AH5+AL5+AQ5+AU5+AY5+BC5</f>
        <v>2089010</v>
      </c>
      <c r="BE5" s="1291"/>
      <c r="BF5" s="1291"/>
      <c r="BG5" s="1291"/>
      <c r="BH5" s="1291"/>
      <c r="BI5" s="1291"/>
      <c r="BJ5" s="1291"/>
      <c r="BK5" s="1291"/>
      <c r="BL5" s="1291"/>
      <c r="BM5" s="1291"/>
      <c r="BN5" s="1291"/>
      <c r="BO5" s="1291"/>
      <c r="BP5" s="1291"/>
      <c r="BQ5" s="1291"/>
      <c r="BR5" s="1291"/>
      <c r="BS5" s="1291"/>
      <c r="BT5" s="1291"/>
      <c r="BU5" s="1291"/>
      <c r="BV5" s="1291"/>
      <c r="BW5" s="1291"/>
      <c r="BX5" s="1291"/>
      <c r="BY5" s="1291"/>
      <c r="BZ5" s="1291"/>
      <c r="CA5" s="1291"/>
      <c r="CB5" s="1291"/>
      <c r="CC5" s="1291"/>
      <c r="CD5" s="1291"/>
      <c r="CE5" s="1291"/>
      <c r="CF5" s="1291"/>
      <c r="CG5" s="1291"/>
      <c r="CH5" s="1291"/>
      <c r="CI5" s="1291"/>
      <c r="CJ5" s="1291"/>
      <c r="CK5" s="1291"/>
      <c r="CL5" s="1291"/>
      <c r="CM5" s="1291"/>
      <c r="CN5" s="1291"/>
      <c r="CO5" s="1291"/>
      <c r="CP5" s="1291"/>
      <c r="CQ5" s="1291"/>
      <c r="CR5" s="1291"/>
      <c r="CS5" s="1291"/>
      <c r="CT5" s="1291"/>
      <c r="CU5" s="1291"/>
      <c r="CV5" s="1291"/>
      <c r="CW5" s="1291"/>
      <c r="CX5" s="1291"/>
      <c r="CY5" s="1291"/>
      <c r="CZ5" s="1291"/>
      <c r="DA5" s="1291"/>
      <c r="DB5" s="1291"/>
      <c r="DC5" s="1291"/>
      <c r="DD5" s="1291"/>
      <c r="DE5" s="1291"/>
      <c r="DF5" s="1291"/>
      <c r="DG5" s="1291"/>
      <c r="DH5" s="1291"/>
      <c r="DI5" s="1291"/>
      <c r="DJ5" s="1291"/>
      <c r="DK5" s="1291"/>
      <c r="DL5" s="1291"/>
      <c r="DM5" s="1291"/>
      <c r="DN5" s="1291"/>
      <c r="DO5" s="1291"/>
      <c r="DP5" s="1291"/>
      <c r="DQ5" s="1291"/>
      <c r="DR5" s="1291"/>
      <c r="DS5" s="1291"/>
      <c r="DT5" s="1291"/>
      <c r="DU5" s="1291"/>
      <c r="DV5" s="1291"/>
      <c r="DW5" s="1291"/>
      <c r="DX5" s="1291"/>
      <c r="DY5" s="1291"/>
      <c r="DZ5" s="1291"/>
      <c r="EA5" s="1291"/>
      <c r="EB5" s="1291"/>
      <c r="EC5" s="1291"/>
      <c r="ED5" s="1291"/>
      <c r="EE5" s="1291"/>
      <c r="EF5" s="1291"/>
      <c r="EG5" s="1291"/>
      <c r="EH5" s="1291"/>
      <c r="EI5" s="1291"/>
      <c r="EJ5" s="1291"/>
      <c r="EK5" s="1291"/>
      <c r="EL5" s="1291"/>
      <c r="EM5" s="1291"/>
      <c r="EN5" s="1291"/>
      <c r="EO5" s="1291"/>
      <c r="EP5" s="1291"/>
      <c r="EQ5" s="1291"/>
      <c r="ER5" s="1291"/>
      <c r="ES5" s="1291"/>
      <c r="ET5" s="1291"/>
      <c r="EU5" s="1291"/>
      <c r="EV5" s="1291"/>
      <c r="EW5" s="1291"/>
      <c r="EX5" s="1291"/>
      <c r="EY5" s="1291"/>
      <c r="EZ5" s="1291"/>
      <c r="FA5" s="1291"/>
      <c r="FB5" s="1291"/>
      <c r="FC5" s="1291"/>
      <c r="FD5" s="1291"/>
      <c r="FE5" s="1291"/>
      <c r="FF5" s="1291"/>
      <c r="FG5" s="1291"/>
      <c r="FH5" s="1291"/>
      <c r="FI5" s="1291"/>
      <c r="FJ5" s="1291"/>
      <c r="FK5" s="1291"/>
      <c r="FL5" s="1291"/>
      <c r="FM5" s="1291"/>
      <c r="FN5" s="1291"/>
      <c r="FO5" s="1291"/>
      <c r="FP5" s="1291"/>
      <c r="FQ5" s="1291"/>
      <c r="FR5" s="1291"/>
      <c r="FS5" s="1291"/>
      <c r="FT5" s="1291"/>
      <c r="FU5" s="1291"/>
      <c r="FV5" s="1291"/>
      <c r="FW5" s="1291"/>
      <c r="FX5" s="1291"/>
      <c r="FY5" s="1291"/>
      <c r="FZ5" s="1291"/>
      <c r="GA5" s="1291"/>
      <c r="GB5" s="1291"/>
      <c r="GC5" s="1291"/>
      <c r="GD5" s="1291"/>
      <c r="GE5" s="1291"/>
      <c r="GF5" s="1291"/>
      <c r="GG5" s="1291"/>
      <c r="GH5" s="1291"/>
      <c r="GI5" s="1291"/>
      <c r="GJ5" s="1291"/>
      <c r="GK5" s="1291"/>
      <c r="GL5" s="1291"/>
      <c r="GM5" s="1291"/>
      <c r="GN5" s="1291"/>
      <c r="GO5" s="1291"/>
      <c r="GP5" s="1291"/>
      <c r="GQ5" s="1291"/>
      <c r="GR5" s="1291"/>
      <c r="GS5" s="1291"/>
      <c r="GT5" s="1291"/>
      <c r="GU5" s="1291"/>
      <c r="GV5" s="1291"/>
      <c r="GW5" s="1291"/>
      <c r="GX5" s="1291"/>
      <c r="GY5" s="1291"/>
      <c r="GZ5" s="1291"/>
      <c r="HA5" s="1291"/>
      <c r="HB5" s="1291"/>
      <c r="HC5" s="1291"/>
      <c r="HD5" s="1291"/>
      <c r="HE5" s="1291"/>
      <c r="HF5" s="1291"/>
      <c r="HG5" s="1291"/>
      <c r="HH5" s="1291"/>
      <c r="HI5" s="1291"/>
      <c r="HJ5" s="1291"/>
      <c r="HK5" s="1291"/>
      <c r="HL5" s="1291"/>
      <c r="HM5" s="1291"/>
      <c r="HN5" s="1291"/>
      <c r="HO5" s="1291"/>
      <c r="HP5" s="1291"/>
    </row>
    <row r="6" spans="1:224" x14ac:dyDescent="0.3">
      <c r="A6" s="1391" t="s">
        <v>548</v>
      </c>
      <c r="B6" s="1292">
        <f t="shared" ref="B6:M6" si="1">+B7+B11+B20</f>
        <v>0</v>
      </c>
      <c r="C6" s="1292">
        <f t="shared" si="1"/>
        <v>0</v>
      </c>
      <c r="D6" s="1292">
        <f t="shared" si="1"/>
        <v>0</v>
      </c>
      <c r="E6" s="1292">
        <f t="shared" si="1"/>
        <v>0</v>
      </c>
      <c r="F6" s="1292">
        <f t="shared" si="1"/>
        <v>0</v>
      </c>
      <c r="G6" s="1292">
        <f t="shared" si="1"/>
        <v>0</v>
      </c>
      <c r="H6" s="1292">
        <f t="shared" si="1"/>
        <v>0</v>
      </c>
      <c r="I6" s="1292">
        <f t="shared" si="1"/>
        <v>0</v>
      </c>
      <c r="J6" s="1293">
        <f t="shared" si="1"/>
        <v>0</v>
      </c>
      <c r="K6" s="1294">
        <f t="shared" si="1"/>
        <v>0</v>
      </c>
      <c r="L6" s="1293">
        <f t="shared" si="1"/>
        <v>0</v>
      </c>
      <c r="M6" s="1297">
        <f t="shared" si="1"/>
        <v>80000</v>
      </c>
      <c r="N6" s="1296">
        <f>SUM(M6)</f>
        <v>80000</v>
      </c>
      <c r="O6" s="1297">
        <f>+O7+O11+O20</f>
        <v>0</v>
      </c>
      <c r="P6" s="1295">
        <f>+P7+P11+P20</f>
        <v>0</v>
      </c>
      <c r="Q6" s="1295">
        <f>+Q7+Q11+Q20</f>
        <v>565000</v>
      </c>
      <c r="R6" s="1296">
        <f>+O6+Q6</f>
        <v>565000</v>
      </c>
      <c r="S6" s="1298">
        <f>+S7+S11+S20</f>
        <v>0</v>
      </c>
      <c r="T6" s="1295">
        <f>+T7+T11+T20</f>
        <v>122200</v>
      </c>
      <c r="U6" s="1295">
        <f>+U7+U11+U20</f>
        <v>0</v>
      </c>
      <c r="V6" s="1299">
        <f>SUM(T6:U6)</f>
        <v>122200</v>
      </c>
      <c r="W6" s="1297">
        <f>+W7+W11+W20</f>
        <v>60050</v>
      </c>
      <c r="X6" s="1295">
        <f>+X7+X11+X20</f>
        <v>169860</v>
      </c>
      <c r="Y6" s="1295">
        <f>+Y7+Y11+Y20</f>
        <v>33420</v>
      </c>
      <c r="Z6" s="1296">
        <f>+W6+X6+Y6</f>
        <v>263330</v>
      </c>
      <c r="AA6" s="1298">
        <f>+AA7+AA11+AA20</f>
        <v>71000</v>
      </c>
      <c r="AB6" s="1295">
        <f>+AB7+AB11+AB20</f>
        <v>54000</v>
      </c>
      <c r="AC6" s="1295">
        <f>+AC7+AC11+AC20</f>
        <v>58000</v>
      </c>
      <c r="AD6" s="1299">
        <f>SUM(AA6:AC6)</f>
        <v>183000</v>
      </c>
      <c r="AE6" s="1297">
        <f>+AE7+AE11+AE20</f>
        <v>4200</v>
      </c>
      <c r="AF6" s="1295">
        <f>+AF7+AF11+AF20</f>
        <v>7000</v>
      </c>
      <c r="AG6" s="1295">
        <f>+AG7+AG11+AG20</f>
        <v>130600</v>
      </c>
      <c r="AH6" s="1296">
        <f>SUM(AE6:AG6)</f>
        <v>141800</v>
      </c>
      <c r="AI6" s="1298">
        <f>+AI7+AI11+AI20</f>
        <v>56400</v>
      </c>
      <c r="AJ6" s="1295">
        <f>+AJ7+AJ11+AJ20</f>
        <v>50480</v>
      </c>
      <c r="AK6" s="1295">
        <f>+AK7+AK11+AK20</f>
        <v>34160</v>
      </c>
      <c r="AL6" s="1296">
        <f>SUM(AI6:AK6)</f>
        <v>141040</v>
      </c>
      <c r="AM6" s="1383" t="s">
        <v>548</v>
      </c>
      <c r="AN6" s="1297">
        <f>+AN7+AN11+AN20</f>
        <v>0</v>
      </c>
      <c r="AO6" s="1295">
        <f>+AO7+AO11+AO20</f>
        <v>0</v>
      </c>
      <c r="AP6" s="1295">
        <f>+AP7+AP11+AP20</f>
        <v>0</v>
      </c>
      <c r="AQ6" s="1296"/>
      <c r="AR6" s="1297">
        <f>+AR7+AR11+AR20</f>
        <v>0</v>
      </c>
      <c r="AS6" s="1295">
        <f>+AS7+AS11+AS20</f>
        <v>0</v>
      </c>
      <c r="AT6" s="1295">
        <f>+AT7+AT11+AT20</f>
        <v>0</v>
      </c>
      <c r="AU6" s="1296">
        <f>+AR6+AT6</f>
        <v>0</v>
      </c>
      <c r="AV6" s="1298">
        <f>+AV7+AV11+AV20</f>
        <v>18500</v>
      </c>
      <c r="AW6" s="1295">
        <f>+AW7+AW11+AW20</f>
        <v>192500</v>
      </c>
      <c r="AX6" s="1295">
        <f>+AX7+AX11+AX20</f>
        <v>109290</v>
      </c>
      <c r="AY6" s="1299">
        <f>SUM(AV6:AX6)</f>
        <v>320290</v>
      </c>
      <c r="AZ6" s="1297">
        <f>+AZ7+AZ11+AZ20</f>
        <v>156750</v>
      </c>
      <c r="BA6" s="1295">
        <f>+BA7+BA11+BA20</f>
        <v>64250</v>
      </c>
      <c r="BB6" s="1295">
        <f>+BB7+BB11+BB20</f>
        <v>39350</v>
      </c>
      <c r="BC6" s="1296">
        <f>SUM(AZ6:BB6)</f>
        <v>260350</v>
      </c>
      <c r="BD6" s="1415">
        <f>++N6+R6+V6+Z6+AD6+AH6+AL6+AQ6+AU6+AY6+BC6</f>
        <v>2077010</v>
      </c>
      <c r="BE6" s="1291"/>
      <c r="BF6" s="1291"/>
      <c r="BG6" s="1291"/>
      <c r="BH6" s="1291"/>
      <c r="BI6" s="1291"/>
      <c r="BJ6" s="1291"/>
      <c r="BK6" s="1291"/>
      <c r="BL6" s="1291"/>
      <c r="BM6" s="1291"/>
      <c r="BN6" s="1291"/>
      <c r="BO6" s="1291"/>
      <c r="BP6" s="1291"/>
      <c r="BQ6" s="1291"/>
      <c r="BR6" s="1291"/>
      <c r="BS6" s="1291"/>
      <c r="BT6" s="1291"/>
      <c r="BU6" s="1291"/>
      <c r="BV6" s="1291"/>
      <c r="BW6" s="1291"/>
      <c r="BX6" s="1291"/>
      <c r="BY6" s="1291"/>
      <c r="BZ6" s="1291"/>
      <c r="CA6" s="1291"/>
      <c r="CB6" s="1291"/>
      <c r="CC6" s="1291"/>
      <c r="CD6" s="1291"/>
      <c r="CE6" s="1291"/>
      <c r="CF6" s="1291"/>
      <c r="CG6" s="1291"/>
      <c r="CH6" s="1291"/>
      <c r="CI6" s="1291"/>
      <c r="CJ6" s="1291"/>
      <c r="CK6" s="1291"/>
      <c r="CL6" s="1291"/>
      <c r="CM6" s="1291"/>
      <c r="CN6" s="1291"/>
      <c r="CO6" s="1291"/>
      <c r="CP6" s="1291"/>
      <c r="CQ6" s="1291"/>
      <c r="CR6" s="1291"/>
      <c r="CS6" s="1291"/>
      <c r="CT6" s="1291"/>
      <c r="CU6" s="1291"/>
      <c r="CV6" s="1291"/>
      <c r="CW6" s="1291"/>
      <c r="CX6" s="1291"/>
      <c r="CY6" s="1291"/>
      <c r="CZ6" s="1291"/>
      <c r="DA6" s="1291"/>
      <c r="DB6" s="1291"/>
      <c r="DC6" s="1291"/>
      <c r="DD6" s="1291"/>
      <c r="DE6" s="1291"/>
      <c r="DF6" s="1291"/>
      <c r="DG6" s="1291"/>
      <c r="DH6" s="1291"/>
      <c r="DI6" s="1291"/>
      <c r="DJ6" s="1291"/>
      <c r="DK6" s="1291"/>
      <c r="DL6" s="1291"/>
      <c r="DM6" s="1291"/>
      <c r="DN6" s="1291"/>
      <c r="DO6" s="1291"/>
      <c r="DP6" s="1291"/>
      <c r="DQ6" s="1291"/>
      <c r="DR6" s="1291"/>
      <c r="DS6" s="1291"/>
      <c r="DT6" s="1291"/>
      <c r="DU6" s="1291"/>
      <c r="DV6" s="1291"/>
      <c r="DW6" s="1291"/>
      <c r="DX6" s="1291"/>
      <c r="DY6" s="1291"/>
      <c r="DZ6" s="1291"/>
      <c r="EA6" s="1291"/>
      <c r="EB6" s="1291"/>
      <c r="EC6" s="1291"/>
      <c r="ED6" s="1291"/>
      <c r="EE6" s="1291"/>
      <c r="EF6" s="1291"/>
      <c r="EG6" s="1291"/>
      <c r="EH6" s="1291"/>
      <c r="EI6" s="1291"/>
      <c r="EJ6" s="1291"/>
      <c r="EK6" s="1291"/>
      <c r="EL6" s="1291"/>
      <c r="EM6" s="1291"/>
      <c r="EN6" s="1291"/>
      <c r="EO6" s="1291"/>
      <c r="EP6" s="1291"/>
      <c r="EQ6" s="1291"/>
      <c r="ER6" s="1291"/>
      <c r="ES6" s="1291"/>
      <c r="ET6" s="1291"/>
      <c r="EU6" s="1291"/>
      <c r="EV6" s="1291"/>
      <c r="EW6" s="1291"/>
      <c r="EX6" s="1291"/>
      <c r="EY6" s="1291"/>
      <c r="EZ6" s="1291"/>
      <c r="FA6" s="1291"/>
      <c r="FB6" s="1291"/>
      <c r="FC6" s="1291"/>
      <c r="FD6" s="1291"/>
      <c r="FE6" s="1291"/>
      <c r="FF6" s="1291"/>
      <c r="FG6" s="1291"/>
      <c r="FH6" s="1291"/>
      <c r="FI6" s="1291"/>
      <c r="FJ6" s="1291"/>
      <c r="FK6" s="1291"/>
      <c r="FL6" s="1291"/>
      <c r="FM6" s="1291"/>
      <c r="FN6" s="1291"/>
      <c r="FO6" s="1291"/>
      <c r="FP6" s="1291"/>
      <c r="FQ6" s="1291"/>
      <c r="FR6" s="1291"/>
      <c r="FS6" s="1291"/>
      <c r="FT6" s="1291"/>
      <c r="FU6" s="1291"/>
      <c r="FV6" s="1291"/>
      <c r="FW6" s="1291"/>
      <c r="FX6" s="1291"/>
      <c r="FY6" s="1291"/>
      <c r="FZ6" s="1291"/>
      <c r="GA6" s="1291"/>
      <c r="GB6" s="1291"/>
      <c r="GC6" s="1291"/>
      <c r="GD6" s="1291"/>
      <c r="GE6" s="1291"/>
      <c r="GF6" s="1291"/>
      <c r="GG6" s="1291"/>
      <c r="GH6" s="1291"/>
      <c r="GI6" s="1291"/>
      <c r="GJ6" s="1291"/>
      <c r="GK6" s="1291"/>
      <c r="GL6" s="1291"/>
      <c r="GM6" s="1291"/>
      <c r="GN6" s="1291"/>
      <c r="GO6" s="1291"/>
      <c r="GP6" s="1291"/>
      <c r="GQ6" s="1291"/>
      <c r="GR6" s="1291"/>
      <c r="GS6" s="1291"/>
      <c r="GT6" s="1291"/>
      <c r="GU6" s="1291"/>
      <c r="GV6" s="1291"/>
      <c r="GW6" s="1291"/>
      <c r="GX6" s="1291"/>
      <c r="GY6" s="1291"/>
      <c r="GZ6" s="1291"/>
      <c r="HA6" s="1291"/>
      <c r="HB6" s="1291"/>
      <c r="HC6" s="1291"/>
      <c r="HD6" s="1291"/>
      <c r="HE6" s="1291"/>
      <c r="HF6" s="1291"/>
      <c r="HG6" s="1291"/>
      <c r="HH6" s="1291"/>
      <c r="HI6" s="1291"/>
      <c r="HJ6" s="1291"/>
      <c r="HK6" s="1291"/>
      <c r="HL6" s="1291"/>
      <c r="HM6" s="1291"/>
      <c r="HN6" s="1291"/>
      <c r="HO6" s="1291"/>
      <c r="HP6" s="1291"/>
    </row>
    <row r="7" spans="1:224" x14ac:dyDescent="0.3">
      <c r="A7" s="1392" t="s">
        <v>549</v>
      </c>
      <c r="B7" s="1300"/>
      <c r="C7" s="1300"/>
      <c r="D7" s="1300"/>
      <c r="E7" s="1300"/>
      <c r="F7" s="1300"/>
      <c r="G7" s="1300"/>
      <c r="H7" s="1300">
        <f t="shared" ref="H7:P7" si="2">SUM(H8:H10)</f>
        <v>0</v>
      </c>
      <c r="I7" s="1300">
        <f t="shared" si="2"/>
        <v>0</v>
      </c>
      <c r="J7" s="1301">
        <f t="shared" si="2"/>
        <v>0</v>
      </c>
      <c r="K7" s="1302">
        <f>SUM(K8:K10)</f>
        <v>0</v>
      </c>
      <c r="L7" s="1301">
        <f>SUM(L8:L10)</f>
        <v>0</v>
      </c>
      <c r="M7" s="1305">
        <f>SUM(M8:M10)</f>
        <v>0</v>
      </c>
      <c r="N7" s="1304"/>
      <c r="O7" s="1305">
        <f>SUM(O8:O10)</f>
        <v>0</v>
      </c>
      <c r="P7" s="1303">
        <f t="shared" si="2"/>
        <v>0</v>
      </c>
      <c r="Q7" s="1303">
        <f>SUM(Q8:Q10)</f>
        <v>0</v>
      </c>
      <c r="R7" s="1304">
        <f>SUM(O7:Q7)</f>
        <v>0</v>
      </c>
      <c r="S7" s="1306">
        <f>SUM(S8:S10)</f>
        <v>0</v>
      </c>
      <c r="T7" s="1303">
        <f>SUM(T8:T10)</f>
        <v>0</v>
      </c>
      <c r="U7" s="1303">
        <f>SUM(U8:U10)</f>
        <v>0</v>
      </c>
      <c r="V7" s="1307"/>
      <c r="W7" s="1305">
        <f>SUM(W8:W10)</f>
        <v>0</v>
      </c>
      <c r="X7" s="1303">
        <f>SUM(X8:X10)</f>
        <v>0</v>
      </c>
      <c r="Y7" s="1303">
        <f>SUM(Y8:Y10)</f>
        <v>0</v>
      </c>
      <c r="Z7" s="1304"/>
      <c r="AA7" s="1306">
        <f>SUM(AA8:AA10)</f>
        <v>20000</v>
      </c>
      <c r="AB7" s="1303">
        <f>SUM(AB8:AB10)</f>
        <v>20000</v>
      </c>
      <c r="AC7" s="1303">
        <f>SUM(AC8:AC10)</f>
        <v>20000</v>
      </c>
      <c r="AD7" s="1307">
        <f>SUM(AA7:AC7)</f>
        <v>60000</v>
      </c>
      <c r="AE7" s="1305">
        <f>SUM(AE8:AE10)</f>
        <v>4200</v>
      </c>
      <c r="AF7" s="1303">
        <f>SUM(AF8:AF10)</f>
        <v>7000</v>
      </c>
      <c r="AG7" s="1303">
        <f>SUM(AG8:AG10)</f>
        <v>5600</v>
      </c>
      <c r="AH7" s="1304">
        <f>SUM(AE7:AG7)</f>
        <v>16800</v>
      </c>
      <c r="AI7" s="1306">
        <f>SUM(AI8:AI10)</f>
        <v>0</v>
      </c>
      <c r="AJ7" s="1303">
        <f>SUM(AJ8:AJ10)</f>
        <v>0</v>
      </c>
      <c r="AK7" s="1303">
        <f>SUM(AK8:AK10)</f>
        <v>0</v>
      </c>
      <c r="AL7" s="1304"/>
      <c r="AM7" s="1384" t="s">
        <v>549</v>
      </c>
      <c r="AN7" s="1305">
        <f>SUM(AN8:AN10)</f>
        <v>0</v>
      </c>
      <c r="AO7" s="1303">
        <f>SUM(AO8:AO10)</f>
        <v>0</v>
      </c>
      <c r="AP7" s="1303">
        <f>SUM(AP8:AP10)</f>
        <v>0</v>
      </c>
      <c r="AQ7" s="1304"/>
      <c r="AR7" s="1305">
        <f>SUM(AR8:AR10)</f>
        <v>0</v>
      </c>
      <c r="AS7" s="1303">
        <f>SUM(AS8:AS10)</f>
        <v>0</v>
      </c>
      <c r="AT7" s="1303">
        <f>SUM(AT8:AT10)</f>
        <v>0</v>
      </c>
      <c r="AU7" s="1304"/>
      <c r="AV7" s="1306">
        <f>SUM(AV8:AV10)</f>
        <v>0</v>
      </c>
      <c r="AW7" s="1303">
        <f>SUM(AW8:AW10)</f>
        <v>7500</v>
      </c>
      <c r="AX7" s="1303">
        <f>SUM(AX8:AX10)</f>
        <v>38800</v>
      </c>
      <c r="AY7" s="1307">
        <f>SUM(AV7:AX7)</f>
        <v>46300</v>
      </c>
      <c r="AZ7" s="1305">
        <f>SUM(AZ8:AZ10)</f>
        <v>25700</v>
      </c>
      <c r="BA7" s="1303">
        <f>SUM(BA8:BA10)</f>
        <v>33200</v>
      </c>
      <c r="BB7" s="1303">
        <f>SUM(BB8:BB10)</f>
        <v>38300</v>
      </c>
      <c r="BC7" s="1304">
        <f>SUM(AZ7:BB7)</f>
        <v>97200</v>
      </c>
      <c r="BD7" s="1416">
        <f>++N7+R7+V7+Z7+AD7+AH7+AL7+AQ7+AU7+AY7+BC7</f>
        <v>220300</v>
      </c>
      <c r="BE7" s="1291"/>
      <c r="BF7" s="1291"/>
      <c r="BG7" s="1291"/>
      <c r="BH7" s="1291"/>
      <c r="BI7" s="1291"/>
      <c r="BJ7" s="1291"/>
      <c r="BK7" s="1291"/>
      <c r="BL7" s="1291"/>
      <c r="BM7" s="1291"/>
      <c r="BN7" s="1291"/>
      <c r="BO7" s="1291"/>
      <c r="BP7" s="1291"/>
      <c r="BQ7" s="1291"/>
      <c r="BR7" s="1291"/>
      <c r="BS7" s="1291"/>
      <c r="BT7" s="1291"/>
      <c r="BU7" s="1291"/>
      <c r="BV7" s="1291"/>
      <c r="BW7" s="1291"/>
      <c r="BX7" s="1291"/>
      <c r="BY7" s="1291"/>
      <c r="BZ7" s="1291"/>
      <c r="CA7" s="1291"/>
      <c r="CB7" s="1291"/>
      <c r="CC7" s="1291"/>
      <c r="CD7" s="1291"/>
      <c r="CE7" s="1291"/>
      <c r="CF7" s="1291"/>
      <c r="CG7" s="1291"/>
      <c r="CH7" s="1291"/>
      <c r="CI7" s="1291"/>
      <c r="CJ7" s="1291"/>
      <c r="CK7" s="1291"/>
      <c r="CL7" s="1291"/>
      <c r="CM7" s="1291"/>
      <c r="CN7" s="1291"/>
      <c r="CO7" s="1291"/>
      <c r="CP7" s="1291"/>
      <c r="CQ7" s="1291"/>
      <c r="CR7" s="1291"/>
      <c r="CS7" s="1291"/>
      <c r="CT7" s="1291"/>
      <c r="CU7" s="1291"/>
      <c r="CV7" s="1291"/>
      <c r="CW7" s="1291"/>
      <c r="CX7" s="1291"/>
      <c r="CY7" s="1291"/>
      <c r="CZ7" s="1291"/>
      <c r="DA7" s="1291"/>
      <c r="DB7" s="1291"/>
      <c r="DC7" s="1291"/>
      <c r="DD7" s="1291"/>
      <c r="DE7" s="1291"/>
      <c r="DF7" s="1291"/>
      <c r="DG7" s="1291"/>
      <c r="DH7" s="1291"/>
      <c r="DI7" s="1291"/>
      <c r="DJ7" s="1291"/>
      <c r="DK7" s="1291"/>
      <c r="DL7" s="1291"/>
      <c r="DM7" s="1291"/>
      <c r="DN7" s="1291"/>
      <c r="DO7" s="1291"/>
      <c r="DP7" s="1291"/>
      <c r="DQ7" s="1291"/>
      <c r="DR7" s="1291"/>
      <c r="DS7" s="1291"/>
      <c r="DT7" s="1291"/>
      <c r="DU7" s="1291"/>
      <c r="DV7" s="1291"/>
      <c r="DW7" s="1291"/>
      <c r="DX7" s="1291"/>
      <c r="DY7" s="1291"/>
      <c r="DZ7" s="1291"/>
      <c r="EA7" s="1291"/>
      <c r="EB7" s="1291"/>
      <c r="EC7" s="1291"/>
      <c r="ED7" s="1291"/>
      <c r="EE7" s="1291"/>
      <c r="EF7" s="1291"/>
      <c r="EG7" s="1291"/>
      <c r="EH7" s="1291"/>
      <c r="EI7" s="1291"/>
      <c r="EJ7" s="1291"/>
      <c r="EK7" s="1291"/>
      <c r="EL7" s="1291"/>
      <c r="EM7" s="1291"/>
      <c r="EN7" s="1291"/>
      <c r="EO7" s="1291"/>
      <c r="EP7" s="1291"/>
      <c r="EQ7" s="1291"/>
      <c r="ER7" s="1291"/>
      <c r="ES7" s="1291"/>
      <c r="ET7" s="1291"/>
      <c r="EU7" s="1291"/>
      <c r="EV7" s="1291"/>
      <c r="EW7" s="1291"/>
      <c r="EX7" s="1291"/>
      <c r="EY7" s="1291"/>
      <c r="EZ7" s="1291"/>
      <c r="FA7" s="1291"/>
      <c r="FB7" s="1291"/>
      <c r="FC7" s="1291"/>
      <c r="FD7" s="1291"/>
      <c r="FE7" s="1291"/>
      <c r="FF7" s="1291"/>
      <c r="FG7" s="1291"/>
      <c r="FH7" s="1291"/>
      <c r="FI7" s="1291"/>
      <c r="FJ7" s="1291"/>
      <c r="FK7" s="1291"/>
      <c r="FL7" s="1291"/>
      <c r="FM7" s="1291"/>
      <c r="FN7" s="1291"/>
      <c r="FO7" s="1291"/>
      <c r="FP7" s="1291"/>
      <c r="FQ7" s="1291"/>
      <c r="FR7" s="1291"/>
      <c r="FS7" s="1291"/>
      <c r="FT7" s="1291"/>
      <c r="FU7" s="1291"/>
      <c r="FV7" s="1291"/>
      <c r="FW7" s="1291"/>
      <c r="FX7" s="1291"/>
      <c r="FY7" s="1291"/>
      <c r="FZ7" s="1291"/>
      <c r="GA7" s="1291"/>
      <c r="GB7" s="1291"/>
      <c r="GC7" s="1291"/>
      <c r="GD7" s="1291"/>
      <c r="GE7" s="1291"/>
      <c r="GF7" s="1291"/>
      <c r="GG7" s="1291"/>
      <c r="GH7" s="1291"/>
      <c r="GI7" s="1291"/>
      <c r="GJ7" s="1291"/>
      <c r="GK7" s="1291"/>
      <c r="GL7" s="1291"/>
      <c r="GM7" s="1291"/>
      <c r="GN7" s="1291"/>
      <c r="GO7" s="1291"/>
      <c r="GP7" s="1291"/>
      <c r="GQ7" s="1291"/>
      <c r="GR7" s="1291"/>
      <c r="GS7" s="1291"/>
      <c r="GT7" s="1291"/>
      <c r="GU7" s="1291"/>
      <c r="GV7" s="1291"/>
      <c r="GW7" s="1291"/>
      <c r="GX7" s="1291"/>
      <c r="GY7" s="1291"/>
      <c r="GZ7" s="1291"/>
      <c r="HA7" s="1291"/>
      <c r="HB7" s="1291"/>
      <c r="HC7" s="1291"/>
      <c r="HD7" s="1291"/>
      <c r="HE7" s="1291"/>
      <c r="HF7" s="1291"/>
      <c r="HG7" s="1291"/>
      <c r="HH7" s="1291"/>
      <c r="HI7" s="1291"/>
      <c r="HJ7" s="1291"/>
      <c r="HK7" s="1291"/>
      <c r="HL7" s="1291"/>
      <c r="HM7" s="1291"/>
      <c r="HN7" s="1291"/>
      <c r="HO7" s="1291"/>
      <c r="HP7" s="1291"/>
    </row>
    <row r="8" spans="1:224" x14ac:dyDescent="0.3">
      <c r="A8" s="1393" t="s">
        <v>550</v>
      </c>
      <c r="B8" s="1308"/>
      <c r="C8" s="1308"/>
      <c r="D8" s="1308"/>
      <c r="E8" s="1308"/>
      <c r="F8" s="1308"/>
      <c r="G8" s="1308"/>
      <c r="H8" s="1308"/>
      <c r="I8" s="1308"/>
      <c r="J8" s="1309"/>
      <c r="K8" s="1310"/>
      <c r="L8" s="1309"/>
      <c r="M8" s="1313"/>
      <c r="N8" s="1312"/>
      <c r="O8" s="1313"/>
      <c r="P8" s="1311"/>
      <c r="Q8" s="1311"/>
      <c r="R8" s="1314"/>
      <c r="S8" s="1315"/>
      <c r="T8" s="1311"/>
      <c r="U8" s="1311"/>
      <c r="V8" s="1316"/>
      <c r="W8" s="1313"/>
      <c r="X8" s="1311"/>
      <c r="Y8" s="1311"/>
      <c r="Z8" s="1312"/>
      <c r="AA8" s="1436">
        <v>20000</v>
      </c>
      <c r="AB8" s="1436">
        <v>20000</v>
      </c>
      <c r="AC8" s="1436">
        <v>20000</v>
      </c>
      <c r="AD8" s="1316">
        <f>SUM(AA8:AC8)</f>
        <v>60000</v>
      </c>
      <c r="AE8" s="1317">
        <f>7*200*3</f>
        <v>4200</v>
      </c>
      <c r="AF8" s="1318">
        <f>7*200*5</f>
        <v>7000</v>
      </c>
      <c r="AG8" s="1318">
        <f>7*200*4</f>
        <v>5600</v>
      </c>
      <c r="AH8" s="1312">
        <f>SUM(AE8:AG8)</f>
        <v>16800</v>
      </c>
      <c r="AI8" s="1315"/>
      <c r="AJ8" s="1311"/>
      <c r="AK8" s="1311"/>
      <c r="AL8" s="1312"/>
      <c r="AM8" s="1385" t="s">
        <v>550</v>
      </c>
      <c r="AN8" s="1313"/>
      <c r="AO8" s="1311"/>
      <c r="AP8" s="1311"/>
      <c r="AQ8" s="1314"/>
      <c r="AR8" s="1313"/>
      <c r="AS8" s="1311"/>
      <c r="AT8" s="1311"/>
      <c r="AU8" s="1314"/>
      <c r="AV8" s="1315"/>
      <c r="AW8" s="1319"/>
      <c r="AX8" s="1319">
        <v>31300</v>
      </c>
      <c r="AY8" s="1426">
        <f>SUM(AW8:AX8)</f>
        <v>31300</v>
      </c>
      <c r="AZ8" s="1313">
        <v>2000</v>
      </c>
      <c r="BA8" s="1311">
        <v>2000</v>
      </c>
      <c r="BB8" s="1311">
        <v>2000</v>
      </c>
      <c r="BC8" s="1314">
        <f>SUM(AZ8:BB8)</f>
        <v>6000</v>
      </c>
      <c r="BD8" s="1417">
        <f>++N8+R8+V8+Z8+AD8+AH8+AL8+AQ8+AU8+AY8+BC8</f>
        <v>114100</v>
      </c>
      <c r="BE8" s="1291"/>
      <c r="BF8" s="1291"/>
      <c r="BG8" s="1291"/>
      <c r="BH8" s="1291"/>
      <c r="BI8" s="1291"/>
      <c r="BJ8" s="1291"/>
      <c r="BK8" s="1291"/>
      <c r="BL8" s="1291"/>
      <c r="BM8" s="1291"/>
      <c r="BN8" s="1291"/>
      <c r="BO8" s="1291"/>
      <c r="BP8" s="1291"/>
      <c r="BQ8" s="1291"/>
      <c r="BR8" s="1291"/>
      <c r="BS8" s="1291"/>
      <c r="BT8" s="1291"/>
      <c r="BU8" s="1291"/>
      <c r="BV8" s="1291"/>
      <c r="BW8" s="1291"/>
      <c r="BX8" s="1291"/>
      <c r="BY8" s="1291"/>
      <c r="BZ8" s="1291"/>
      <c r="CA8" s="1291"/>
      <c r="CB8" s="1291"/>
      <c r="CC8" s="1291"/>
      <c r="CD8" s="1291"/>
      <c r="CE8" s="1291"/>
      <c r="CF8" s="1291"/>
      <c r="CG8" s="1291"/>
      <c r="CH8" s="1291"/>
      <c r="CI8" s="1291"/>
      <c r="CJ8" s="1291"/>
      <c r="CK8" s="1291"/>
      <c r="CL8" s="1291"/>
      <c r="CM8" s="1291"/>
      <c r="CN8" s="1291"/>
      <c r="CO8" s="1291"/>
      <c r="CP8" s="1291"/>
      <c r="CQ8" s="1291"/>
      <c r="CR8" s="1291"/>
      <c r="CS8" s="1291"/>
      <c r="CT8" s="1291"/>
      <c r="CU8" s="1291"/>
      <c r="CV8" s="1291"/>
      <c r="CW8" s="1291"/>
      <c r="CX8" s="1291"/>
      <c r="CY8" s="1291"/>
      <c r="CZ8" s="1291"/>
      <c r="DA8" s="1291"/>
      <c r="DB8" s="1291"/>
      <c r="DC8" s="1291"/>
      <c r="DD8" s="1291"/>
      <c r="DE8" s="1291"/>
      <c r="DF8" s="1291"/>
      <c r="DG8" s="1291"/>
      <c r="DH8" s="1291"/>
      <c r="DI8" s="1291"/>
      <c r="DJ8" s="1291"/>
      <c r="DK8" s="1291"/>
      <c r="DL8" s="1291"/>
      <c r="DM8" s="1291"/>
      <c r="DN8" s="1291"/>
      <c r="DO8" s="1291"/>
      <c r="DP8" s="1291"/>
      <c r="DQ8" s="1291"/>
      <c r="DR8" s="1291"/>
      <c r="DS8" s="1291"/>
      <c r="DT8" s="1291"/>
      <c r="DU8" s="1291"/>
      <c r="DV8" s="1291"/>
      <c r="DW8" s="1291"/>
      <c r="DX8" s="1291"/>
      <c r="DY8" s="1291"/>
      <c r="DZ8" s="1291"/>
      <c r="EA8" s="1291"/>
      <c r="EB8" s="1291"/>
      <c r="EC8" s="1291"/>
      <c r="ED8" s="1291"/>
      <c r="EE8" s="1291"/>
      <c r="EF8" s="1291"/>
      <c r="EG8" s="1291"/>
      <c r="EH8" s="1291"/>
      <c r="EI8" s="1291"/>
      <c r="EJ8" s="1291"/>
      <c r="EK8" s="1291"/>
      <c r="EL8" s="1291"/>
      <c r="EM8" s="1291"/>
      <c r="EN8" s="1291"/>
      <c r="EO8" s="1291"/>
      <c r="EP8" s="1291"/>
      <c r="EQ8" s="1291"/>
      <c r="ER8" s="1291"/>
      <c r="ES8" s="1291"/>
      <c r="ET8" s="1291"/>
      <c r="EU8" s="1291"/>
      <c r="EV8" s="1291"/>
      <c r="EW8" s="1291"/>
      <c r="EX8" s="1291"/>
      <c r="EY8" s="1291"/>
      <c r="EZ8" s="1291"/>
      <c r="FA8" s="1291"/>
      <c r="FB8" s="1291"/>
      <c r="FC8" s="1291"/>
      <c r="FD8" s="1291"/>
      <c r="FE8" s="1291"/>
      <c r="FF8" s="1291"/>
      <c r="FG8" s="1291"/>
      <c r="FH8" s="1291"/>
      <c r="FI8" s="1291"/>
      <c r="FJ8" s="1291"/>
      <c r="FK8" s="1291"/>
      <c r="FL8" s="1291"/>
      <c r="FM8" s="1291"/>
      <c r="FN8" s="1291"/>
      <c r="FO8" s="1291"/>
      <c r="FP8" s="1291"/>
      <c r="FQ8" s="1291"/>
      <c r="FR8" s="1291"/>
      <c r="FS8" s="1291"/>
      <c r="FT8" s="1291"/>
      <c r="FU8" s="1291"/>
      <c r="FV8" s="1291"/>
      <c r="FW8" s="1291"/>
      <c r="FX8" s="1291"/>
      <c r="FY8" s="1291"/>
      <c r="FZ8" s="1291"/>
      <c r="GA8" s="1291"/>
      <c r="GB8" s="1291"/>
      <c r="GC8" s="1291"/>
      <c r="GD8" s="1291"/>
      <c r="GE8" s="1291"/>
      <c r="GF8" s="1291"/>
      <c r="GG8" s="1291"/>
      <c r="GH8" s="1291"/>
      <c r="GI8" s="1291"/>
      <c r="GJ8" s="1291"/>
      <c r="GK8" s="1291"/>
      <c r="GL8" s="1291"/>
      <c r="GM8" s="1291"/>
      <c r="GN8" s="1291"/>
      <c r="GO8" s="1291"/>
      <c r="GP8" s="1291"/>
      <c r="GQ8" s="1291"/>
      <c r="GR8" s="1291"/>
      <c r="GS8" s="1291"/>
      <c r="GT8" s="1291"/>
      <c r="GU8" s="1291"/>
      <c r="GV8" s="1291"/>
      <c r="GW8" s="1291"/>
      <c r="GX8" s="1291"/>
      <c r="GY8" s="1291"/>
      <c r="GZ8" s="1291"/>
      <c r="HA8" s="1291"/>
      <c r="HB8" s="1291"/>
      <c r="HC8" s="1291"/>
      <c r="HD8" s="1291"/>
      <c r="HE8" s="1291"/>
      <c r="HF8" s="1291"/>
      <c r="HG8" s="1291"/>
      <c r="HH8" s="1291"/>
      <c r="HI8" s="1291"/>
      <c r="HJ8" s="1291"/>
      <c r="HK8" s="1291"/>
      <c r="HL8" s="1291"/>
      <c r="HM8" s="1291"/>
      <c r="HN8" s="1291"/>
      <c r="HO8" s="1291"/>
      <c r="HP8" s="1291"/>
    </row>
    <row r="9" spans="1:224" x14ac:dyDescent="0.3">
      <c r="A9" s="1393" t="s">
        <v>551</v>
      </c>
      <c r="B9" s="1320"/>
      <c r="C9" s="1320"/>
      <c r="D9" s="1320"/>
      <c r="E9" s="1320"/>
      <c r="F9" s="1320"/>
      <c r="G9" s="1320"/>
      <c r="H9" s="1320"/>
      <c r="I9" s="1320"/>
      <c r="J9" s="1321"/>
      <c r="K9" s="1322"/>
      <c r="L9" s="1321"/>
      <c r="M9" s="1325"/>
      <c r="N9" s="1324"/>
      <c r="O9" s="1325"/>
      <c r="P9" s="1323"/>
      <c r="Q9" s="1323"/>
      <c r="R9" s="1326"/>
      <c r="S9" s="1327"/>
      <c r="T9" s="1323"/>
      <c r="U9" s="1323"/>
      <c r="V9" s="1328"/>
      <c r="W9" s="1325"/>
      <c r="X9" s="1323"/>
      <c r="Y9" s="1323"/>
      <c r="Z9" s="1324"/>
      <c r="AA9" s="1327"/>
      <c r="AB9" s="1323"/>
      <c r="AC9" s="1323"/>
      <c r="AD9" s="1328"/>
      <c r="AE9" s="1325"/>
      <c r="AF9" s="1323"/>
      <c r="AG9" s="1323"/>
      <c r="AH9" s="1324"/>
      <c r="AI9" s="1327"/>
      <c r="AJ9" s="1323"/>
      <c r="AK9" s="1323"/>
      <c r="AL9" s="1324"/>
      <c r="AM9" s="1385" t="s">
        <v>551</v>
      </c>
      <c r="AN9" s="1325"/>
      <c r="AO9" s="1323"/>
      <c r="AP9" s="1323"/>
      <c r="AQ9" s="1326"/>
      <c r="AR9" s="1325"/>
      <c r="AS9" s="1323"/>
      <c r="AT9" s="1323"/>
      <c r="AU9" s="1326"/>
      <c r="AV9" s="1327"/>
      <c r="AW9" s="1329">
        <v>7500</v>
      </c>
      <c r="AX9" s="1329">
        <v>7500</v>
      </c>
      <c r="AY9" s="1427">
        <f>SUM(AW9:AX9)</f>
        <v>15000</v>
      </c>
      <c r="AZ9" s="1325">
        <f>SUM(8700*2)+6300</f>
        <v>23700</v>
      </c>
      <c r="BA9" s="1323">
        <f>SUM(8700*2)+7500+6300</f>
        <v>31200</v>
      </c>
      <c r="BB9" s="1323">
        <f>SUM(8700)+15000+12600</f>
        <v>36300</v>
      </c>
      <c r="BC9" s="1326">
        <f>SUM(AZ9:BB9)</f>
        <v>91200</v>
      </c>
      <c r="BD9" s="1417">
        <f t="shared" ref="BD9:BD27" si="3">++N9+R9+V9+Z9+AD9+AH9+AL9+AQ9+AU9+AY9+BC9</f>
        <v>106200</v>
      </c>
      <c r="BE9" s="1291"/>
      <c r="BF9" s="1291"/>
      <c r="BG9" s="1291"/>
      <c r="BH9" s="1291"/>
      <c r="BI9" s="1291"/>
      <c r="BJ9" s="1291"/>
      <c r="BK9" s="1291"/>
      <c r="BL9" s="1291"/>
      <c r="BM9" s="1291"/>
      <c r="BN9" s="1291"/>
      <c r="BO9" s="1291"/>
      <c r="BP9" s="1291"/>
      <c r="BQ9" s="1291"/>
      <c r="BR9" s="1291"/>
      <c r="BS9" s="1291"/>
      <c r="BT9" s="1291"/>
      <c r="BU9" s="1291"/>
      <c r="BV9" s="1291"/>
      <c r="BW9" s="1291"/>
      <c r="BX9" s="1291"/>
      <c r="BY9" s="1291"/>
      <c r="BZ9" s="1291"/>
      <c r="CA9" s="1291"/>
      <c r="CB9" s="1291"/>
      <c r="CC9" s="1291"/>
      <c r="CD9" s="1291"/>
      <c r="CE9" s="1291"/>
      <c r="CF9" s="1291"/>
      <c r="CG9" s="1291"/>
      <c r="CH9" s="1291"/>
      <c r="CI9" s="1291"/>
      <c r="CJ9" s="1291"/>
      <c r="CK9" s="1291"/>
      <c r="CL9" s="1291"/>
      <c r="CM9" s="1291"/>
      <c r="CN9" s="1291"/>
      <c r="CO9" s="1291"/>
      <c r="CP9" s="1291"/>
      <c r="CQ9" s="1291"/>
      <c r="CR9" s="1291"/>
      <c r="CS9" s="1291"/>
      <c r="CT9" s="1291"/>
      <c r="CU9" s="1291"/>
      <c r="CV9" s="1291"/>
      <c r="CW9" s="1291"/>
      <c r="CX9" s="1291"/>
      <c r="CY9" s="1291"/>
      <c r="CZ9" s="1291"/>
      <c r="DA9" s="1291"/>
      <c r="DB9" s="1291"/>
      <c r="DC9" s="1291"/>
      <c r="DD9" s="1291"/>
      <c r="DE9" s="1291"/>
      <c r="DF9" s="1291"/>
      <c r="DG9" s="1291"/>
      <c r="DH9" s="1291"/>
      <c r="DI9" s="1291"/>
      <c r="DJ9" s="1291"/>
      <c r="DK9" s="1291"/>
      <c r="DL9" s="1291"/>
      <c r="DM9" s="1291"/>
      <c r="DN9" s="1291"/>
      <c r="DO9" s="1291"/>
      <c r="DP9" s="1291"/>
      <c r="DQ9" s="1291"/>
      <c r="DR9" s="1291"/>
      <c r="DS9" s="1291"/>
      <c r="DT9" s="1291"/>
      <c r="DU9" s="1291"/>
      <c r="DV9" s="1291"/>
      <c r="DW9" s="1291"/>
      <c r="DX9" s="1291"/>
      <c r="DY9" s="1291"/>
      <c r="DZ9" s="1291"/>
      <c r="EA9" s="1291"/>
      <c r="EB9" s="1291"/>
      <c r="EC9" s="1291"/>
      <c r="ED9" s="1291"/>
      <c r="EE9" s="1291"/>
      <c r="EF9" s="1291"/>
      <c r="EG9" s="1291"/>
      <c r="EH9" s="1291"/>
      <c r="EI9" s="1291"/>
      <c r="EJ9" s="1291"/>
      <c r="EK9" s="1291"/>
      <c r="EL9" s="1291"/>
      <c r="EM9" s="1291"/>
      <c r="EN9" s="1291"/>
      <c r="EO9" s="1291"/>
      <c r="EP9" s="1291"/>
      <c r="EQ9" s="1291"/>
      <c r="ER9" s="1291"/>
      <c r="ES9" s="1291"/>
      <c r="ET9" s="1291"/>
      <c r="EU9" s="1291"/>
      <c r="EV9" s="1291"/>
      <c r="EW9" s="1291"/>
      <c r="EX9" s="1291"/>
      <c r="EY9" s="1291"/>
      <c r="EZ9" s="1291"/>
      <c r="FA9" s="1291"/>
      <c r="FB9" s="1291"/>
      <c r="FC9" s="1291"/>
      <c r="FD9" s="1291"/>
      <c r="FE9" s="1291"/>
      <c r="FF9" s="1291"/>
      <c r="FG9" s="1291"/>
      <c r="FH9" s="1291"/>
      <c r="FI9" s="1291"/>
      <c r="FJ9" s="1291"/>
      <c r="FK9" s="1291"/>
      <c r="FL9" s="1291"/>
      <c r="FM9" s="1291"/>
      <c r="FN9" s="1291"/>
      <c r="FO9" s="1291"/>
      <c r="FP9" s="1291"/>
      <c r="FQ9" s="1291"/>
      <c r="FR9" s="1291"/>
      <c r="FS9" s="1291"/>
      <c r="FT9" s="1291"/>
      <c r="FU9" s="1291"/>
      <c r="FV9" s="1291"/>
      <c r="FW9" s="1291"/>
      <c r="FX9" s="1291"/>
      <c r="FY9" s="1291"/>
      <c r="FZ9" s="1291"/>
      <c r="GA9" s="1291"/>
      <c r="GB9" s="1291"/>
      <c r="GC9" s="1291"/>
      <c r="GD9" s="1291"/>
      <c r="GE9" s="1291"/>
      <c r="GF9" s="1291"/>
      <c r="GG9" s="1291"/>
      <c r="GH9" s="1291"/>
      <c r="GI9" s="1291"/>
      <c r="GJ9" s="1291"/>
      <c r="GK9" s="1291"/>
      <c r="GL9" s="1291"/>
      <c r="GM9" s="1291"/>
      <c r="GN9" s="1291"/>
      <c r="GO9" s="1291"/>
      <c r="GP9" s="1291"/>
      <c r="GQ9" s="1291"/>
      <c r="GR9" s="1291"/>
      <c r="GS9" s="1291"/>
      <c r="GT9" s="1291"/>
      <c r="GU9" s="1291"/>
      <c r="GV9" s="1291"/>
      <c r="GW9" s="1291"/>
      <c r="GX9" s="1291"/>
      <c r="GY9" s="1291"/>
      <c r="GZ9" s="1291"/>
      <c r="HA9" s="1291"/>
      <c r="HB9" s="1291"/>
      <c r="HC9" s="1291"/>
      <c r="HD9" s="1291"/>
      <c r="HE9" s="1291"/>
      <c r="HF9" s="1291"/>
      <c r="HG9" s="1291"/>
      <c r="HH9" s="1291"/>
      <c r="HI9" s="1291"/>
      <c r="HJ9" s="1291"/>
      <c r="HK9" s="1291"/>
      <c r="HL9" s="1291"/>
      <c r="HM9" s="1291"/>
      <c r="HN9" s="1291"/>
      <c r="HO9" s="1291"/>
      <c r="HP9" s="1291"/>
    </row>
    <row r="10" spans="1:224" x14ac:dyDescent="0.3">
      <c r="A10" s="1393" t="s">
        <v>552</v>
      </c>
      <c r="B10" s="1320"/>
      <c r="C10" s="1320"/>
      <c r="D10" s="1320"/>
      <c r="E10" s="1320"/>
      <c r="F10" s="1320"/>
      <c r="G10" s="1320"/>
      <c r="H10" s="1320"/>
      <c r="I10" s="1320"/>
      <c r="J10" s="1321"/>
      <c r="K10" s="1322"/>
      <c r="L10" s="1321"/>
      <c r="M10" s="1325"/>
      <c r="N10" s="1324"/>
      <c r="O10" s="1325"/>
      <c r="P10" s="1323"/>
      <c r="Q10" s="1323"/>
      <c r="R10" s="1326"/>
      <c r="S10" s="1327"/>
      <c r="T10" s="1323"/>
      <c r="U10" s="1323"/>
      <c r="V10" s="1328"/>
      <c r="W10" s="1325"/>
      <c r="X10" s="1323"/>
      <c r="Y10" s="1323"/>
      <c r="Z10" s="1324"/>
      <c r="AA10" s="1327"/>
      <c r="AB10" s="1323"/>
      <c r="AC10" s="1323"/>
      <c r="AD10" s="1328"/>
      <c r="AE10" s="1325"/>
      <c r="AF10" s="1323"/>
      <c r="AG10" s="1323"/>
      <c r="AH10" s="1324"/>
      <c r="AI10" s="1327"/>
      <c r="AJ10" s="1323"/>
      <c r="AK10" s="1323"/>
      <c r="AL10" s="1324"/>
      <c r="AM10" s="1385" t="s">
        <v>552</v>
      </c>
      <c r="AN10" s="1325"/>
      <c r="AO10" s="1323"/>
      <c r="AP10" s="1323"/>
      <c r="AQ10" s="1326"/>
      <c r="AR10" s="1325"/>
      <c r="AS10" s="1323"/>
      <c r="AT10" s="1323"/>
      <c r="AU10" s="1326"/>
      <c r="AV10" s="1327"/>
      <c r="AW10" s="1323"/>
      <c r="AX10" s="1323"/>
      <c r="AY10" s="1328">
        <f>SUM(AW10:AX10)</f>
        <v>0</v>
      </c>
      <c r="AZ10" s="1325"/>
      <c r="BA10" s="1323"/>
      <c r="BB10" s="1323"/>
      <c r="BC10" s="1326"/>
      <c r="BD10" s="1417">
        <f t="shared" si="3"/>
        <v>0</v>
      </c>
      <c r="BE10" s="1291"/>
      <c r="BF10" s="1291"/>
      <c r="BG10" s="1291"/>
      <c r="BH10" s="1291"/>
      <c r="BI10" s="1291"/>
      <c r="BJ10" s="1291"/>
      <c r="BK10" s="1291"/>
      <c r="BL10" s="1291"/>
      <c r="BM10" s="1291"/>
      <c r="BN10" s="1291"/>
      <c r="BO10" s="1291"/>
      <c r="BP10" s="1291"/>
      <c r="BQ10" s="1291"/>
      <c r="BR10" s="1291"/>
      <c r="BS10" s="1291"/>
      <c r="BT10" s="1291"/>
      <c r="BU10" s="1291"/>
      <c r="BV10" s="1291"/>
      <c r="BW10" s="1291"/>
      <c r="BX10" s="1291"/>
      <c r="BY10" s="1291"/>
      <c r="BZ10" s="1291"/>
      <c r="CA10" s="1291"/>
      <c r="CB10" s="1291"/>
      <c r="CC10" s="1291"/>
      <c r="CD10" s="1291"/>
      <c r="CE10" s="1291"/>
      <c r="CF10" s="1291"/>
      <c r="CG10" s="1291"/>
      <c r="CH10" s="1291"/>
      <c r="CI10" s="1291"/>
      <c r="CJ10" s="1291"/>
      <c r="CK10" s="1291"/>
      <c r="CL10" s="1291"/>
      <c r="CM10" s="1291"/>
      <c r="CN10" s="1291"/>
      <c r="CO10" s="1291"/>
      <c r="CP10" s="1291"/>
      <c r="CQ10" s="1291"/>
      <c r="CR10" s="1291"/>
      <c r="CS10" s="1291"/>
      <c r="CT10" s="1291"/>
      <c r="CU10" s="1291"/>
      <c r="CV10" s="1291"/>
      <c r="CW10" s="1291"/>
      <c r="CX10" s="1291"/>
      <c r="CY10" s="1291"/>
      <c r="CZ10" s="1291"/>
      <c r="DA10" s="1291"/>
      <c r="DB10" s="1291"/>
      <c r="DC10" s="1291"/>
      <c r="DD10" s="1291"/>
      <c r="DE10" s="1291"/>
      <c r="DF10" s="1291"/>
      <c r="DG10" s="1291"/>
      <c r="DH10" s="1291"/>
      <c r="DI10" s="1291"/>
      <c r="DJ10" s="1291"/>
      <c r="DK10" s="1291"/>
      <c r="DL10" s="1291"/>
      <c r="DM10" s="1291"/>
      <c r="DN10" s="1291"/>
      <c r="DO10" s="1291"/>
      <c r="DP10" s="1291"/>
      <c r="DQ10" s="1291"/>
      <c r="DR10" s="1291"/>
      <c r="DS10" s="1291"/>
      <c r="DT10" s="1291"/>
      <c r="DU10" s="1291"/>
      <c r="DV10" s="1291"/>
      <c r="DW10" s="1291"/>
      <c r="DX10" s="1291"/>
      <c r="DY10" s="1291"/>
      <c r="DZ10" s="1291"/>
      <c r="EA10" s="1291"/>
      <c r="EB10" s="1291"/>
      <c r="EC10" s="1291"/>
      <c r="ED10" s="1291"/>
      <c r="EE10" s="1291"/>
      <c r="EF10" s="1291"/>
      <c r="EG10" s="1291"/>
      <c r="EH10" s="1291"/>
      <c r="EI10" s="1291"/>
      <c r="EJ10" s="1291"/>
      <c r="EK10" s="1291"/>
      <c r="EL10" s="1291"/>
      <c r="EM10" s="1291"/>
      <c r="EN10" s="1291"/>
      <c r="EO10" s="1291"/>
      <c r="EP10" s="1291"/>
      <c r="EQ10" s="1291"/>
      <c r="ER10" s="1291"/>
      <c r="ES10" s="1291"/>
      <c r="ET10" s="1291"/>
      <c r="EU10" s="1291"/>
      <c r="EV10" s="1291"/>
      <c r="EW10" s="1291"/>
      <c r="EX10" s="1291"/>
      <c r="EY10" s="1291"/>
      <c r="EZ10" s="1291"/>
      <c r="FA10" s="1291"/>
      <c r="FB10" s="1291"/>
      <c r="FC10" s="1291"/>
      <c r="FD10" s="1291"/>
      <c r="FE10" s="1291"/>
      <c r="FF10" s="1291"/>
      <c r="FG10" s="1291"/>
      <c r="FH10" s="1291"/>
      <c r="FI10" s="1291"/>
      <c r="FJ10" s="1291"/>
      <c r="FK10" s="1291"/>
      <c r="FL10" s="1291"/>
      <c r="FM10" s="1291"/>
      <c r="FN10" s="1291"/>
      <c r="FO10" s="1291"/>
      <c r="FP10" s="1291"/>
      <c r="FQ10" s="1291"/>
      <c r="FR10" s="1291"/>
      <c r="FS10" s="1291"/>
      <c r="FT10" s="1291"/>
      <c r="FU10" s="1291"/>
      <c r="FV10" s="1291"/>
      <c r="FW10" s="1291"/>
      <c r="FX10" s="1291"/>
      <c r="FY10" s="1291"/>
      <c r="FZ10" s="1291"/>
      <c r="GA10" s="1291"/>
      <c r="GB10" s="1291"/>
      <c r="GC10" s="1291"/>
      <c r="GD10" s="1291"/>
      <c r="GE10" s="1291"/>
      <c r="GF10" s="1291"/>
      <c r="GG10" s="1291"/>
      <c r="GH10" s="1291"/>
      <c r="GI10" s="1291"/>
      <c r="GJ10" s="1291"/>
      <c r="GK10" s="1291"/>
      <c r="GL10" s="1291"/>
      <c r="GM10" s="1291"/>
      <c r="GN10" s="1291"/>
      <c r="GO10" s="1291"/>
      <c r="GP10" s="1291"/>
      <c r="GQ10" s="1291"/>
      <c r="GR10" s="1291"/>
      <c r="GS10" s="1291"/>
      <c r="GT10" s="1291"/>
      <c r="GU10" s="1291"/>
      <c r="GV10" s="1291"/>
      <c r="GW10" s="1291"/>
      <c r="GX10" s="1291"/>
      <c r="GY10" s="1291"/>
      <c r="GZ10" s="1291"/>
      <c r="HA10" s="1291"/>
      <c r="HB10" s="1291"/>
      <c r="HC10" s="1291"/>
      <c r="HD10" s="1291"/>
      <c r="HE10" s="1291"/>
      <c r="HF10" s="1291"/>
      <c r="HG10" s="1291"/>
      <c r="HH10" s="1291"/>
      <c r="HI10" s="1291"/>
      <c r="HJ10" s="1291"/>
      <c r="HK10" s="1291"/>
      <c r="HL10" s="1291"/>
      <c r="HM10" s="1291"/>
      <c r="HN10" s="1291"/>
      <c r="HO10" s="1291"/>
      <c r="HP10" s="1291"/>
    </row>
    <row r="11" spans="1:224" x14ac:dyDescent="0.3">
      <c r="A11" s="1392" t="s">
        <v>553</v>
      </c>
      <c r="B11" s="1300"/>
      <c r="C11" s="1300"/>
      <c r="D11" s="1300"/>
      <c r="E11" s="1300"/>
      <c r="F11" s="1300"/>
      <c r="G11" s="1300"/>
      <c r="H11" s="1300">
        <f t="shared" ref="H11:P11" si="4">SUM(H12:H18)</f>
        <v>0</v>
      </c>
      <c r="I11" s="1300">
        <f t="shared" si="4"/>
        <v>0</v>
      </c>
      <c r="J11" s="1301">
        <f t="shared" si="4"/>
        <v>0</v>
      </c>
      <c r="K11" s="1302">
        <f>SUM(K12:K18)</f>
        <v>0</v>
      </c>
      <c r="L11" s="1301">
        <f>SUM(L12:L18)</f>
        <v>0</v>
      </c>
      <c r="M11" s="1305">
        <f>SUM(M12:M18)</f>
        <v>0</v>
      </c>
      <c r="N11" s="1304"/>
      <c r="O11" s="1305">
        <f t="shared" si="4"/>
        <v>0</v>
      </c>
      <c r="P11" s="1303">
        <f t="shared" si="4"/>
        <v>0</v>
      </c>
      <c r="Q11" s="1303">
        <f>SUM(Q12:Q18)</f>
        <v>15000</v>
      </c>
      <c r="R11" s="1304">
        <f>SUM(O11:Q11)</f>
        <v>15000</v>
      </c>
      <c r="S11" s="1306">
        <f>SUM(S12:S18)</f>
        <v>0</v>
      </c>
      <c r="T11" s="1303">
        <f>SUM(T12:T18)</f>
        <v>95000</v>
      </c>
      <c r="U11" s="1303">
        <f>SUM(U12:U18)</f>
        <v>0</v>
      </c>
      <c r="V11" s="1307">
        <f>SUM(T11:U11)</f>
        <v>95000</v>
      </c>
      <c r="W11" s="1305">
        <f>SUM(W12:W18)</f>
        <v>60050</v>
      </c>
      <c r="X11" s="1303">
        <f>SUM(X12:X18)</f>
        <v>135360</v>
      </c>
      <c r="Y11" s="1303">
        <f>SUM(Y12:Y18)</f>
        <v>33420</v>
      </c>
      <c r="Z11" s="1304">
        <f>SUM(W11:Y11)</f>
        <v>228830</v>
      </c>
      <c r="AA11" s="1306">
        <f>SUM(AA12:AA19)</f>
        <v>1000</v>
      </c>
      <c r="AB11" s="1303">
        <f>SUM(AB12:AB19)</f>
        <v>1000</v>
      </c>
      <c r="AC11" s="1303">
        <f>SUM(AC12:AC19)</f>
        <v>5000</v>
      </c>
      <c r="AD11" s="1307">
        <f>SUM(AA11:AC11)</f>
        <v>7000</v>
      </c>
      <c r="AE11" s="1305">
        <f>SUM(AE12:AE18)</f>
        <v>0</v>
      </c>
      <c r="AF11" s="1303">
        <f>SUM(AF12:AF18)</f>
        <v>0</v>
      </c>
      <c r="AG11" s="1303">
        <f>SUM(AG12:AG18)</f>
        <v>0</v>
      </c>
      <c r="AH11" s="1304"/>
      <c r="AI11" s="1306">
        <f>SUM(AI12:AI19)</f>
        <v>2400</v>
      </c>
      <c r="AJ11" s="1303">
        <f>SUM(AJ12:AJ18)</f>
        <v>34880</v>
      </c>
      <c r="AK11" s="1303">
        <f>SUM(AK12:AK18)</f>
        <v>34160</v>
      </c>
      <c r="AL11" s="1304">
        <f>SUM(AI11:AK11)</f>
        <v>71440</v>
      </c>
      <c r="AM11" s="1384" t="s">
        <v>553</v>
      </c>
      <c r="AN11" s="1305">
        <f>SUM(AN12:AN18)</f>
        <v>0</v>
      </c>
      <c r="AO11" s="1303">
        <f>SUM(AO12:AO18)</f>
        <v>0</v>
      </c>
      <c r="AP11" s="1303">
        <f>SUM(AP12:AP18)</f>
        <v>0</v>
      </c>
      <c r="AQ11" s="1304"/>
      <c r="AR11" s="1305">
        <f>SUM(AR12:AR18)</f>
        <v>0</v>
      </c>
      <c r="AS11" s="1303">
        <f>SUM(AS12:AS18)</f>
        <v>0</v>
      </c>
      <c r="AT11" s="1303">
        <f>SUM(AT12:AT18)</f>
        <v>0</v>
      </c>
      <c r="AU11" s="1304"/>
      <c r="AV11" s="1306">
        <f>SUM(AV12:AV18)</f>
        <v>3500</v>
      </c>
      <c r="AW11" s="1303">
        <f>SUM(AW12:AW19)</f>
        <v>185000</v>
      </c>
      <c r="AX11" s="1303">
        <f>SUM(AX12:AX19)</f>
        <v>48990</v>
      </c>
      <c r="AY11" s="1307">
        <f>SUM(AV11:AX11)</f>
        <v>237490</v>
      </c>
      <c r="AZ11" s="1305">
        <f>SUM(AZ12:AZ19)</f>
        <v>1050</v>
      </c>
      <c r="BA11" s="1303">
        <f>SUM(BA12:BA19)</f>
        <v>1050</v>
      </c>
      <c r="BB11" s="1303">
        <f>SUM(BB12:BB19)</f>
        <v>1050</v>
      </c>
      <c r="BC11" s="1304">
        <f>SUM(AZ11:BB11)</f>
        <v>3150</v>
      </c>
      <c r="BD11" s="1418">
        <f>SUM(BD12:BD18)</f>
        <v>630360</v>
      </c>
      <c r="BE11" s="1291"/>
      <c r="BF11" s="1291"/>
      <c r="BG11" s="1291"/>
      <c r="BH11" s="1291"/>
      <c r="BI11" s="1291"/>
      <c r="BJ11" s="1291"/>
      <c r="BK11" s="1291"/>
      <c r="BL11" s="1291"/>
      <c r="BM11" s="1291"/>
      <c r="BN11" s="1291"/>
      <c r="BO11" s="1291"/>
      <c r="BP11" s="1291"/>
      <c r="BQ11" s="1291"/>
      <c r="BR11" s="1291"/>
      <c r="BS11" s="1291"/>
      <c r="BT11" s="1291"/>
      <c r="BU11" s="1291"/>
      <c r="BV11" s="1291"/>
      <c r="BW11" s="1291"/>
      <c r="BX11" s="1291"/>
      <c r="BY11" s="1291"/>
      <c r="BZ11" s="1291"/>
      <c r="CA11" s="1291"/>
      <c r="CB11" s="1291"/>
      <c r="CC11" s="1291"/>
      <c r="CD11" s="1291"/>
      <c r="CE11" s="1291"/>
      <c r="CF11" s="1291"/>
      <c r="CG11" s="1291"/>
      <c r="CH11" s="1291"/>
      <c r="CI11" s="1291"/>
      <c r="CJ11" s="1291"/>
      <c r="CK11" s="1291"/>
      <c r="CL11" s="1291"/>
      <c r="CM11" s="1291"/>
      <c r="CN11" s="1291"/>
      <c r="CO11" s="1291"/>
      <c r="CP11" s="1291"/>
      <c r="CQ11" s="1291"/>
      <c r="CR11" s="1291"/>
      <c r="CS11" s="1291"/>
      <c r="CT11" s="1291"/>
      <c r="CU11" s="1291"/>
      <c r="CV11" s="1291"/>
      <c r="CW11" s="1291"/>
      <c r="CX11" s="1291"/>
      <c r="CY11" s="1291"/>
      <c r="CZ11" s="1291"/>
      <c r="DA11" s="1291"/>
      <c r="DB11" s="1291"/>
      <c r="DC11" s="1291"/>
      <c r="DD11" s="1291"/>
      <c r="DE11" s="1291"/>
      <c r="DF11" s="1291"/>
      <c r="DG11" s="1291"/>
      <c r="DH11" s="1291"/>
      <c r="DI11" s="1291"/>
      <c r="DJ11" s="1291"/>
      <c r="DK11" s="1291"/>
      <c r="DL11" s="1291"/>
      <c r="DM11" s="1291"/>
      <c r="DN11" s="1291"/>
      <c r="DO11" s="1291"/>
      <c r="DP11" s="1291"/>
      <c r="DQ11" s="1291"/>
      <c r="DR11" s="1291"/>
      <c r="DS11" s="1291"/>
      <c r="DT11" s="1291"/>
      <c r="DU11" s="1291"/>
      <c r="DV11" s="1291"/>
      <c r="DW11" s="1291"/>
      <c r="DX11" s="1291"/>
      <c r="DY11" s="1291"/>
      <c r="DZ11" s="1291"/>
      <c r="EA11" s="1291"/>
      <c r="EB11" s="1291"/>
      <c r="EC11" s="1291"/>
      <c r="ED11" s="1291"/>
      <c r="EE11" s="1291"/>
      <c r="EF11" s="1291"/>
      <c r="EG11" s="1291"/>
      <c r="EH11" s="1291"/>
      <c r="EI11" s="1291"/>
      <c r="EJ11" s="1291"/>
      <c r="EK11" s="1291"/>
      <c r="EL11" s="1291"/>
      <c r="EM11" s="1291"/>
      <c r="EN11" s="1291"/>
      <c r="EO11" s="1291"/>
      <c r="EP11" s="1291"/>
      <c r="EQ11" s="1291"/>
      <c r="ER11" s="1291"/>
      <c r="ES11" s="1291"/>
      <c r="ET11" s="1291"/>
      <c r="EU11" s="1291"/>
      <c r="EV11" s="1291"/>
      <c r="EW11" s="1291"/>
      <c r="EX11" s="1291"/>
      <c r="EY11" s="1291"/>
      <c r="EZ11" s="1291"/>
      <c r="FA11" s="1291"/>
      <c r="FB11" s="1291"/>
      <c r="FC11" s="1291"/>
      <c r="FD11" s="1291"/>
      <c r="FE11" s="1291"/>
      <c r="FF11" s="1291"/>
      <c r="FG11" s="1291"/>
      <c r="FH11" s="1291"/>
      <c r="FI11" s="1291"/>
      <c r="FJ11" s="1291"/>
      <c r="FK11" s="1291"/>
      <c r="FL11" s="1291"/>
      <c r="FM11" s="1291"/>
      <c r="FN11" s="1291"/>
      <c r="FO11" s="1291"/>
      <c r="FP11" s="1291"/>
      <c r="FQ11" s="1291"/>
      <c r="FR11" s="1291"/>
      <c r="FS11" s="1291"/>
      <c r="FT11" s="1291"/>
      <c r="FU11" s="1291"/>
      <c r="FV11" s="1291"/>
      <c r="FW11" s="1291"/>
      <c r="FX11" s="1291"/>
      <c r="FY11" s="1291"/>
      <c r="FZ11" s="1291"/>
      <c r="GA11" s="1291"/>
      <c r="GB11" s="1291"/>
      <c r="GC11" s="1291"/>
      <c r="GD11" s="1291"/>
      <c r="GE11" s="1291"/>
      <c r="GF11" s="1291"/>
      <c r="GG11" s="1291"/>
      <c r="GH11" s="1291"/>
      <c r="GI11" s="1291"/>
      <c r="GJ11" s="1291"/>
      <c r="GK11" s="1291"/>
      <c r="GL11" s="1291"/>
      <c r="GM11" s="1291"/>
      <c r="GN11" s="1291"/>
      <c r="GO11" s="1291"/>
      <c r="GP11" s="1291"/>
      <c r="GQ11" s="1291"/>
      <c r="GR11" s="1291"/>
      <c r="GS11" s="1291"/>
      <c r="GT11" s="1291"/>
      <c r="GU11" s="1291"/>
      <c r="GV11" s="1291"/>
      <c r="GW11" s="1291"/>
      <c r="GX11" s="1291"/>
      <c r="GY11" s="1291"/>
      <c r="GZ11" s="1291"/>
      <c r="HA11" s="1291"/>
      <c r="HB11" s="1291"/>
      <c r="HC11" s="1291"/>
      <c r="HD11" s="1291"/>
      <c r="HE11" s="1291"/>
      <c r="HF11" s="1291"/>
      <c r="HG11" s="1291"/>
      <c r="HH11" s="1291"/>
      <c r="HI11" s="1291"/>
      <c r="HJ11" s="1291"/>
      <c r="HK11" s="1291"/>
      <c r="HL11" s="1291"/>
      <c r="HM11" s="1291"/>
      <c r="HN11" s="1291"/>
      <c r="HO11" s="1291"/>
      <c r="HP11" s="1291"/>
    </row>
    <row r="12" spans="1:224" x14ac:dyDescent="0.3">
      <c r="A12" s="1393" t="s">
        <v>554</v>
      </c>
      <c r="B12" s="1320"/>
      <c r="C12" s="1330"/>
      <c r="D12" s="1320"/>
      <c r="E12" s="1320"/>
      <c r="F12" s="1330"/>
      <c r="G12" s="1320"/>
      <c r="H12" s="1320"/>
      <c r="I12" s="1330"/>
      <c r="J12" s="1321"/>
      <c r="K12" s="1322"/>
      <c r="L12" s="1377"/>
      <c r="M12" s="1325"/>
      <c r="N12" s="1324"/>
      <c r="O12" s="1325"/>
      <c r="P12" s="1331"/>
      <c r="Q12" s="1323"/>
      <c r="R12" s="1326"/>
      <c r="S12" s="1327"/>
      <c r="T12" s="1331"/>
      <c r="U12" s="1323"/>
      <c r="V12" s="1328"/>
      <c r="W12" s="1325">
        <v>60050</v>
      </c>
      <c r="X12" s="1331">
        <v>135360</v>
      </c>
      <c r="Y12" s="1323">
        <v>33420</v>
      </c>
      <c r="Z12" s="1324">
        <f>SUM(W12:Y12)</f>
        <v>228830</v>
      </c>
      <c r="AA12" s="1332"/>
      <c r="AB12" s="1332"/>
      <c r="AC12" s="1332"/>
      <c r="AD12" s="1328">
        <f>SUM(AA12:AC12)</f>
        <v>0</v>
      </c>
      <c r="AE12" s="1325"/>
      <c r="AF12" s="1331"/>
      <c r="AG12" s="1323"/>
      <c r="AH12" s="1324"/>
      <c r="AI12" s="1327"/>
      <c r="AJ12" s="1331">
        <v>34880</v>
      </c>
      <c r="AK12" s="1323">
        <v>34160</v>
      </c>
      <c r="AL12" s="1324">
        <f>SUM(AI12:AK12)</f>
        <v>69040</v>
      </c>
      <c r="AM12" s="1385" t="s">
        <v>554</v>
      </c>
      <c r="AN12" s="1325"/>
      <c r="AO12" s="1331"/>
      <c r="AP12" s="1323"/>
      <c r="AQ12" s="1326"/>
      <c r="AR12" s="1325"/>
      <c r="AS12" s="1331"/>
      <c r="AT12" s="1323"/>
      <c r="AU12" s="1326"/>
      <c r="AV12" s="1327"/>
      <c r="AW12" s="1333">
        <v>175000</v>
      </c>
      <c r="AX12" s="1318">
        <v>40000</v>
      </c>
      <c r="AY12" s="1427">
        <f>SUM(AW12:AX12)</f>
        <v>215000</v>
      </c>
      <c r="AZ12" s="1325"/>
      <c r="BA12" s="1331"/>
      <c r="BB12" s="1323"/>
      <c r="BC12" s="1326"/>
      <c r="BD12" s="1417">
        <f t="shared" si="3"/>
        <v>512870</v>
      </c>
      <c r="BE12" s="1291"/>
      <c r="BF12" s="1291"/>
      <c r="BG12" s="1291"/>
      <c r="BH12" s="1291"/>
      <c r="BI12" s="1291"/>
      <c r="BJ12" s="1291"/>
      <c r="BK12" s="1291"/>
      <c r="BL12" s="1291"/>
      <c r="BM12" s="1291"/>
      <c r="BN12" s="1291"/>
      <c r="BO12" s="1291"/>
      <c r="BP12" s="1291"/>
      <c r="BQ12" s="1291"/>
      <c r="BR12" s="1291"/>
      <c r="BS12" s="1291"/>
      <c r="BT12" s="1291"/>
      <c r="BU12" s="1291"/>
      <c r="BV12" s="1291"/>
      <c r="BW12" s="1291"/>
      <c r="BX12" s="1291"/>
      <c r="BY12" s="1291"/>
      <c r="BZ12" s="1291"/>
      <c r="CA12" s="1291"/>
      <c r="CB12" s="1291"/>
      <c r="CC12" s="1291"/>
      <c r="CD12" s="1291"/>
      <c r="CE12" s="1291"/>
      <c r="CF12" s="1291"/>
      <c r="CG12" s="1291"/>
      <c r="CH12" s="1291"/>
      <c r="CI12" s="1291"/>
      <c r="CJ12" s="1291"/>
      <c r="CK12" s="1291"/>
      <c r="CL12" s="1291"/>
      <c r="CM12" s="1291"/>
      <c r="CN12" s="1291"/>
      <c r="CO12" s="1291"/>
      <c r="CP12" s="1291"/>
      <c r="CQ12" s="1291"/>
      <c r="CR12" s="1291"/>
      <c r="CS12" s="1291"/>
      <c r="CT12" s="1291"/>
      <c r="CU12" s="1291"/>
      <c r="CV12" s="1291"/>
      <c r="CW12" s="1291"/>
      <c r="CX12" s="1291"/>
      <c r="CY12" s="1291"/>
      <c r="CZ12" s="1291"/>
      <c r="DA12" s="1291"/>
      <c r="DB12" s="1291"/>
      <c r="DC12" s="1291"/>
      <c r="DD12" s="1291"/>
      <c r="DE12" s="1291"/>
      <c r="DF12" s="1291"/>
      <c r="DG12" s="1291"/>
      <c r="DH12" s="1291"/>
      <c r="DI12" s="1291"/>
      <c r="DJ12" s="1291"/>
      <c r="DK12" s="1291"/>
      <c r="DL12" s="1291"/>
      <c r="DM12" s="1291"/>
      <c r="DN12" s="1291"/>
      <c r="DO12" s="1291"/>
      <c r="DP12" s="1291"/>
      <c r="DQ12" s="1291"/>
      <c r="DR12" s="1291"/>
      <c r="DS12" s="1291"/>
      <c r="DT12" s="1291"/>
      <c r="DU12" s="1291"/>
      <c r="DV12" s="1291"/>
      <c r="DW12" s="1291"/>
      <c r="DX12" s="1291"/>
      <c r="DY12" s="1291"/>
      <c r="DZ12" s="1291"/>
      <c r="EA12" s="1291"/>
      <c r="EB12" s="1291"/>
      <c r="EC12" s="1291"/>
      <c r="ED12" s="1291"/>
      <c r="EE12" s="1291"/>
      <c r="EF12" s="1291"/>
      <c r="EG12" s="1291"/>
      <c r="EH12" s="1291"/>
      <c r="EI12" s="1291"/>
      <c r="EJ12" s="1291"/>
      <c r="EK12" s="1291"/>
      <c r="EL12" s="1291"/>
      <c r="EM12" s="1291"/>
      <c r="EN12" s="1291"/>
      <c r="EO12" s="1291"/>
      <c r="EP12" s="1291"/>
      <c r="EQ12" s="1291"/>
      <c r="ER12" s="1291"/>
      <c r="ES12" s="1291"/>
      <c r="ET12" s="1291"/>
      <c r="EU12" s="1291"/>
      <c r="EV12" s="1291"/>
      <c r="EW12" s="1291"/>
      <c r="EX12" s="1291"/>
      <c r="EY12" s="1291"/>
      <c r="EZ12" s="1291"/>
      <c r="FA12" s="1291"/>
      <c r="FB12" s="1291"/>
      <c r="FC12" s="1291"/>
      <c r="FD12" s="1291"/>
      <c r="FE12" s="1291"/>
      <c r="FF12" s="1291"/>
      <c r="FG12" s="1291"/>
      <c r="FH12" s="1291"/>
      <c r="FI12" s="1291"/>
      <c r="FJ12" s="1291"/>
      <c r="FK12" s="1291"/>
      <c r="FL12" s="1291"/>
      <c r="FM12" s="1291"/>
      <c r="FN12" s="1291"/>
      <c r="FO12" s="1291"/>
      <c r="FP12" s="1291"/>
      <c r="FQ12" s="1291"/>
      <c r="FR12" s="1291"/>
      <c r="FS12" s="1291"/>
      <c r="FT12" s="1291"/>
      <c r="FU12" s="1291"/>
      <c r="FV12" s="1291"/>
      <c r="FW12" s="1291"/>
      <c r="FX12" s="1291"/>
      <c r="FY12" s="1291"/>
      <c r="FZ12" s="1291"/>
      <c r="GA12" s="1291"/>
      <c r="GB12" s="1291"/>
      <c r="GC12" s="1291"/>
      <c r="GD12" s="1291"/>
      <c r="GE12" s="1291"/>
      <c r="GF12" s="1291"/>
      <c r="GG12" s="1291"/>
      <c r="GH12" s="1291"/>
      <c r="GI12" s="1291"/>
      <c r="GJ12" s="1291"/>
      <c r="GK12" s="1291"/>
      <c r="GL12" s="1291"/>
      <c r="GM12" s="1291"/>
      <c r="GN12" s="1291"/>
      <c r="GO12" s="1291"/>
      <c r="GP12" s="1291"/>
      <c r="GQ12" s="1291"/>
      <c r="GR12" s="1291"/>
      <c r="GS12" s="1291"/>
      <c r="GT12" s="1291"/>
      <c r="GU12" s="1291"/>
      <c r="GV12" s="1291"/>
      <c r="GW12" s="1291"/>
      <c r="GX12" s="1291"/>
      <c r="GY12" s="1291"/>
      <c r="GZ12" s="1291"/>
      <c r="HA12" s="1291"/>
      <c r="HB12" s="1291"/>
      <c r="HC12" s="1291"/>
      <c r="HD12" s="1291"/>
      <c r="HE12" s="1291"/>
      <c r="HF12" s="1291"/>
      <c r="HG12" s="1291"/>
      <c r="HH12" s="1291"/>
      <c r="HI12" s="1291"/>
      <c r="HJ12" s="1291"/>
      <c r="HK12" s="1291"/>
      <c r="HL12" s="1291"/>
      <c r="HM12" s="1291"/>
      <c r="HN12" s="1291"/>
      <c r="HO12" s="1291"/>
      <c r="HP12" s="1291"/>
    </row>
    <row r="13" spans="1:224" x14ac:dyDescent="0.3">
      <c r="A13" s="1393" t="s">
        <v>555</v>
      </c>
      <c r="B13" s="1320"/>
      <c r="C13" s="1320"/>
      <c r="D13" s="1320"/>
      <c r="E13" s="1320"/>
      <c r="F13" s="1320"/>
      <c r="G13" s="1320"/>
      <c r="H13" s="1320"/>
      <c r="I13" s="1320"/>
      <c r="J13" s="1321"/>
      <c r="K13" s="1322"/>
      <c r="L13" s="1321"/>
      <c r="M13" s="1325"/>
      <c r="N13" s="1324"/>
      <c r="O13" s="1325"/>
      <c r="P13" s="1323"/>
      <c r="Q13" s="1323"/>
      <c r="R13" s="1326">
        <f>SUM(O13:Q13)</f>
        <v>0</v>
      </c>
      <c r="S13" s="1327"/>
      <c r="T13" s="1323"/>
      <c r="U13" s="1323"/>
      <c r="V13" s="1328"/>
      <c r="W13" s="1325"/>
      <c r="X13" s="1323"/>
      <c r="Y13" s="1323"/>
      <c r="Z13" s="1324"/>
      <c r="AA13" s="1327"/>
      <c r="AB13" s="1323"/>
      <c r="AC13" s="1323"/>
      <c r="AD13" s="1328"/>
      <c r="AE13" s="1325"/>
      <c r="AF13" s="1323"/>
      <c r="AG13" s="1323"/>
      <c r="AH13" s="1324"/>
      <c r="AI13" s="1327"/>
      <c r="AJ13" s="1323"/>
      <c r="AK13" s="1323"/>
      <c r="AL13" s="1324"/>
      <c r="AM13" s="1385" t="s">
        <v>555</v>
      </c>
      <c r="AN13" s="1325"/>
      <c r="AO13" s="1323"/>
      <c r="AP13" s="1323"/>
      <c r="AQ13" s="1326"/>
      <c r="AR13" s="1325"/>
      <c r="AS13" s="1323"/>
      <c r="AT13" s="1323"/>
      <c r="AU13" s="1326"/>
      <c r="AV13" s="1327"/>
      <c r="AW13" s="1323"/>
      <c r="AX13" s="1323"/>
      <c r="AY13" s="1328"/>
      <c r="AZ13" s="1325"/>
      <c r="BA13" s="1323"/>
      <c r="BB13" s="1323"/>
      <c r="BC13" s="1326"/>
      <c r="BD13" s="1417">
        <f t="shared" si="3"/>
        <v>0</v>
      </c>
      <c r="BE13" s="1291"/>
      <c r="BF13" s="1291"/>
      <c r="BG13" s="1291"/>
      <c r="BH13" s="1291"/>
      <c r="BI13" s="1291"/>
      <c r="BJ13" s="1291"/>
      <c r="BK13" s="1291"/>
      <c r="BL13" s="1291"/>
      <c r="BM13" s="1291"/>
      <c r="BN13" s="1291"/>
      <c r="BO13" s="1291"/>
      <c r="BP13" s="1291"/>
      <c r="BQ13" s="1291"/>
      <c r="BR13" s="1291"/>
      <c r="BS13" s="1291"/>
      <c r="BT13" s="1291"/>
      <c r="BU13" s="1291"/>
      <c r="BV13" s="1291"/>
      <c r="BW13" s="1291"/>
      <c r="BX13" s="1291"/>
      <c r="BY13" s="1291"/>
      <c r="BZ13" s="1291"/>
      <c r="CA13" s="1291"/>
      <c r="CB13" s="1291"/>
      <c r="CC13" s="1291"/>
      <c r="CD13" s="1291"/>
      <c r="CE13" s="1291"/>
      <c r="CF13" s="1291"/>
      <c r="CG13" s="1291"/>
      <c r="CH13" s="1291"/>
      <c r="CI13" s="1291"/>
      <c r="CJ13" s="1291"/>
      <c r="CK13" s="1291"/>
      <c r="CL13" s="1291"/>
      <c r="CM13" s="1291"/>
      <c r="CN13" s="1291"/>
      <c r="CO13" s="1291"/>
      <c r="CP13" s="1291"/>
      <c r="CQ13" s="1291"/>
      <c r="CR13" s="1291"/>
      <c r="CS13" s="1291"/>
      <c r="CT13" s="1291"/>
      <c r="CU13" s="1291"/>
      <c r="CV13" s="1291"/>
      <c r="CW13" s="1291"/>
      <c r="CX13" s="1291"/>
      <c r="CY13" s="1291"/>
      <c r="CZ13" s="1291"/>
      <c r="DA13" s="1291"/>
      <c r="DB13" s="1291"/>
      <c r="DC13" s="1291"/>
      <c r="DD13" s="1291"/>
      <c r="DE13" s="1291"/>
      <c r="DF13" s="1291"/>
      <c r="DG13" s="1291"/>
      <c r="DH13" s="1291"/>
      <c r="DI13" s="1291"/>
      <c r="DJ13" s="1291"/>
      <c r="DK13" s="1291"/>
      <c r="DL13" s="1291"/>
      <c r="DM13" s="1291"/>
      <c r="DN13" s="1291"/>
      <c r="DO13" s="1291"/>
      <c r="DP13" s="1291"/>
      <c r="DQ13" s="1291"/>
      <c r="DR13" s="1291"/>
      <c r="DS13" s="1291"/>
      <c r="DT13" s="1291"/>
      <c r="DU13" s="1291"/>
      <c r="DV13" s="1291"/>
      <c r="DW13" s="1291"/>
      <c r="DX13" s="1291"/>
      <c r="DY13" s="1291"/>
      <c r="DZ13" s="1291"/>
      <c r="EA13" s="1291"/>
      <c r="EB13" s="1291"/>
      <c r="EC13" s="1291"/>
      <c r="ED13" s="1291"/>
      <c r="EE13" s="1291"/>
      <c r="EF13" s="1291"/>
      <c r="EG13" s="1291"/>
      <c r="EH13" s="1291"/>
      <c r="EI13" s="1291"/>
      <c r="EJ13" s="1291"/>
      <c r="EK13" s="1291"/>
      <c r="EL13" s="1291"/>
      <c r="EM13" s="1291"/>
      <c r="EN13" s="1291"/>
      <c r="EO13" s="1291"/>
      <c r="EP13" s="1291"/>
      <c r="EQ13" s="1291"/>
      <c r="ER13" s="1291"/>
      <c r="ES13" s="1291"/>
      <c r="ET13" s="1291"/>
      <c r="EU13" s="1291"/>
      <c r="EV13" s="1291"/>
      <c r="EW13" s="1291"/>
      <c r="EX13" s="1291"/>
      <c r="EY13" s="1291"/>
      <c r="EZ13" s="1291"/>
      <c r="FA13" s="1291"/>
      <c r="FB13" s="1291"/>
      <c r="FC13" s="1291"/>
      <c r="FD13" s="1291"/>
      <c r="FE13" s="1291"/>
      <c r="FF13" s="1291"/>
      <c r="FG13" s="1291"/>
      <c r="FH13" s="1291"/>
      <c r="FI13" s="1291"/>
      <c r="FJ13" s="1291"/>
      <c r="FK13" s="1291"/>
      <c r="FL13" s="1291"/>
      <c r="FM13" s="1291"/>
      <c r="FN13" s="1291"/>
      <c r="FO13" s="1291"/>
      <c r="FP13" s="1291"/>
      <c r="FQ13" s="1291"/>
      <c r="FR13" s="1291"/>
      <c r="FS13" s="1291"/>
      <c r="FT13" s="1291"/>
      <c r="FU13" s="1291"/>
      <c r="FV13" s="1291"/>
      <c r="FW13" s="1291"/>
      <c r="FX13" s="1291"/>
      <c r="FY13" s="1291"/>
      <c r="FZ13" s="1291"/>
      <c r="GA13" s="1291"/>
      <c r="GB13" s="1291"/>
      <c r="GC13" s="1291"/>
      <c r="GD13" s="1291"/>
      <c r="GE13" s="1291"/>
      <c r="GF13" s="1291"/>
      <c r="GG13" s="1291"/>
      <c r="GH13" s="1291"/>
      <c r="GI13" s="1291"/>
      <c r="GJ13" s="1291"/>
      <c r="GK13" s="1291"/>
      <c r="GL13" s="1291"/>
      <c r="GM13" s="1291"/>
      <c r="GN13" s="1291"/>
      <c r="GO13" s="1291"/>
      <c r="GP13" s="1291"/>
      <c r="GQ13" s="1291"/>
      <c r="GR13" s="1291"/>
      <c r="GS13" s="1291"/>
      <c r="GT13" s="1291"/>
      <c r="GU13" s="1291"/>
      <c r="GV13" s="1291"/>
      <c r="GW13" s="1291"/>
      <c r="GX13" s="1291"/>
      <c r="GY13" s="1291"/>
      <c r="GZ13" s="1291"/>
      <c r="HA13" s="1291"/>
      <c r="HB13" s="1291"/>
      <c r="HC13" s="1291"/>
      <c r="HD13" s="1291"/>
      <c r="HE13" s="1291"/>
      <c r="HF13" s="1291"/>
      <c r="HG13" s="1291"/>
      <c r="HH13" s="1291"/>
      <c r="HI13" s="1291"/>
      <c r="HJ13" s="1291"/>
      <c r="HK13" s="1291"/>
      <c r="HL13" s="1291"/>
      <c r="HM13" s="1291"/>
      <c r="HN13" s="1291"/>
      <c r="HO13" s="1291"/>
      <c r="HP13" s="1291"/>
    </row>
    <row r="14" spans="1:224" x14ac:dyDescent="0.3">
      <c r="A14" s="1393" t="s">
        <v>556</v>
      </c>
      <c r="B14" s="1320"/>
      <c r="C14" s="1320"/>
      <c r="D14" s="1320"/>
      <c r="E14" s="1320"/>
      <c r="F14" s="1320"/>
      <c r="G14" s="1320"/>
      <c r="H14" s="1320"/>
      <c r="I14" s="1320"/>
      <c r="J14" s="1321"/>
      <c r="K14" s="1322"/>
      <c r="L14" s="1321"/>
      <c r="M14" s="1325"/>
      <c r="N14" s="1324"/>
      <c r="O14" s="1325"/>
      <c r="P14" s="1323"/>
      <c r="Q14" s="1435">
        <v>15000</v>
      </c>
      <c r="R14" s="1326"/>
      <c r="S14" s="1327"/>
      <c r="T14" s="1323"/>
      <c r="U14" s="1323"/>
      <c r="V14" s="1328"/>
      <c r="W14" s="1325"/>
      <c r="X14" s="1323"/>
      <c r="Y14" s="1323"/>
      <c r="Z14" s="1324"/>
      <c r="AA14" s="1327"/>
      <c r="AB14" s="1323"/>
      <c r="AC14" s="1323"/>
      <c r="AD14" s="1328"/>
      <c r="AE14" s="1325"/>
      <c r="AF14" s="1323"/>
      <c r="AG14" s="1323"/>
      <c r="AH14" s="1324"/>
      <c r="AI14" s="1327"/>
      <c r="AJ14" s="1323"/>
      <c r="AK14" s="1323"/>
      <c r="AL14" s="1324"/>
      <c r="AM14" s="1385" t="s">
        <v>556</v>
      </c>
      <c r="AN14" s="1325"/>
      <c r="AO14" s="1323"/>
      <c r="AP14" s="1323"/>
      <c r="AQ14" s="1326"/>
      <c r="AR14" s="1325"/>
      <c r="AS14" s="1323"/>
      <c r="AT14" s="1323"/>
      <c r="AU14" s="1326"/>
      <c r="AV14" s="1327"/>
      <c r="AW14" s="1323"/>
      <c r="AX14" s="1323"/>
      <c r="AY14" s="1328"/>
      <c r="AZ14" s="1325"/>
      <c r="BA14" s="1323"/>
      <c r="BB14" s="1323"/>
      <c r="BC14" s="1326"/>
      <c r="BD14" s="1417">
        <f t="shared" si="3"/>
        <v>0</v>
      </c>
      <c r="BE14" s="1291"/>
      <c r="BF14" s="1291"/>
      <c r="BG14" s="1291"/>
      <c r="BH14" s="1291"/>
      <c r="BI14" s="1291"/>
      <c r="BJ14" s="1291"/>
      <c r="BK14" s="1291"/>
      <c r="BL14" s="1291"/>
      <c r="BM14" s="1291"/>
      <c r="BN14" s="1291"/>
      <c r="BO14" s="1291"/>
      <c r="BP14" s="1291"/>
      <c r="BQ14" s="1291"/>
      <c r="BR14" s="1291"/>
      <c r="BS14" s="1291"/>
      <c r="BT14" s="1291"/>
      <c r="BU14" s="1291"/>
      <c r="BV14" s="1291"/>
      <c r="BW14" s="1291"/>
      <c r="BX14" s="1291"/>
      <c r="BY14" s="1291"/>
      <c r="BZ14" s="1291"/>
      <c r="CA14" s="1291"/>
      <c r="CB14" s="1291"/>
      <c r="CC14" s="1291"/>
      <c r="CD14" s="1291"/>
      <c r="CE14" s="1291"/>
      <c r="CF14" s="1291"/>
      <c r="CG14" s="1291"/>
      <c r="CH14" s="1291"/>
      <c r="CI14" s="1291"/>
      <c r="CJ14" s="1291"/>
      <c r="CK14" s="1291"/>
      <c r="CL14" s="1291"/>
      <c r="CM14" s="1291"/>
      <c r="CN14" s="1291"/>
      <c r="CO14" s="1291"/>
      <c r="CP14" s="1291"/>
      <c r="CQ14" s="1291"/>
      <c r="CR14" s="1291"/>
      <c r="CS14" s="1291"/>
      <c r="CT14" s="1291"/>
      <c r="CU14" s="1291"/>
      <c r="CV14" s="1291"/>
      <c r="CW14" s="1291"/>
      <c r="CX14" s="1291"/>
      <c r="CY14" s="1291"/>
      <c r="CZ14" s="1291"/>
      <c r="DA14" s="1291"/>
      <c r="DB14" s="1291"/>
      <c r="DC14" s="1291"/>
      <c r="DD14" s="1291"/>
      <c r="DE14" s="1291"/>
      <c r="DF14" s="1291"/>
      <c r="DG14" s="1291"/>
      <c r="DH14" s="1291"/>
      <c r="DI14" s="1291"/>
      <c r="DJ14" s="1291"/>
      <c r="DK14" s="1291"/>
      <c r="DL14" s="1291"/>
      <c r="DM14" s="1291"/>
      <c r="DN14" s="1291"/>
      <c r="DO14" s="1291"/>
      <c r="DP14" s="1291"/>
      <c r="DQ14" s="1291"/>
      <c r="DR14" s="1291"/>
      <c r="DS14" s="1291"/>
      <c r="DT14" s="1291"/>
      <c r="DU14" s="1291"/>
      <c r="DV14" s="1291"/>
      <c r="DW14" s="1291"/>
      <c r="DX14" s="1291"/>
      <c r="DY14" s="1291"/>
      <c r="DZ14" s="1291"/>
      <c r="EA14" s="1291"/>
      <c r="EB14" s="1291"/>
      <c r="EC14" s="1291"/>
      <c r="ED14" s="1291"/>
      <c r="EE14" s="1291"/>
      <c r="EF14" s="1291"/>
      <c r="EG14" s="1291"/>
      <c r="EH14" s="1291"/>
      <c r="EI14" s="1291"/>
      <c r="EJ14" s="1291"/>
      <c r="EK14" s="1291"/>
      <c r="EL14" s="1291"/>
      <c r="EM14" s="1291"/>
      <c r="EN14" s="1291"/>
      <c r="EO14" s="1291"/>
      <c r="EP14" s="1291"/>
      <c r="EQ14" s="1291"/>
      <c r="ER14" s="1291"/>
      <c r="ES14" s="1291"/>
      <c r="ET14" s="1291"/>
      <c r="EU14" s="1291"/>
      <c r="EV14" s="1291"/>
      <c r="EW14" s="1291"/>
      <c r="EX14" s="1291"/>
      <c r="EY14" s="1291"/>
      <c r="EZ14" s="1291"/>
      <c r="FA14" s="1291"/>
      <c r="FB14" s="1291"/>
      <c r="FC14" s="1291"/>
      <c r="FD14" s="1291"/>
      <c r="FE14" s="1291"/>
      <c r="FF14" s="1291"/>
      <c r="FG14" s="1291"/>
      <c r="FH14" s="1291"/>
      <c r="FI14" s="1291"/>
      <c r="FJ14" s="1291"/>
      <c r="FK14" s="1291"/>
      <c r="FL14" s="1291"/>
      <c r="FM14" s="1291"/>
      <c r="FN14" s="1291"/>
      <c r="FO14" s="1291"/>
      <c r="FP14" s="1291"/>
      <c r="FQ14" s="1291"/>
      <c r="FR14" s="1291"/>
      <c r="FS14" s="1291"/>
      <c r="FT14" s="1291"/>
      <c r="FU14" s="1291"/>
      <c r="FV14" s="1291"/>
      <c r="FW14" s="1291"/>
      <c r="FX14" s="1291"/>
      <c r="FY14" s="1291"/>
      <c r="FZ14" s="1291"/>
      <c r="GA14" s="1291"/>
      <c r="GB14" s="1291"/>
      <c r="GC14" s="1291"/>
      <c r="GD14" s="1291"/>
      <c r="GE14" s="1291"/>
      <c r="GF14" s="1291"/>
      <c r="GG14" s="1291"/>
      <c r="GH14" s="1291"/>
      <c r="GI14" s="1291"/>
      <c r="GJ14" s="1291"/>
      <c r="GK14" s="1291"/>
      <c r="GL14" s="1291"/>
      <c r="GM14" s="1291"/>
      <c r="GN14" s="1291"/>
      <c r="GO14" s="1291"/>
      <c r="GP14" s="1291"/>
      <c r="GQ14" s="1291"/>
      <c r="GR14" s="1291"/>
      <c r="GS14" s="1291"/>
      <c r="GT14" s="1291"/>
      <c r="GU14" s="1291"/>
      <c r="GV14" s="1291"/>
      <c r="GW14" s="1291"/>
      <c r="GX14" s="1291"/>
      <c r="GY14" s="1291"/>
      <c r="GZ14" s="1291"/>
      <c r="HA14" s="1291"/>
      <c r="HB14" s="1291"/>
      <c r="HC14" s="1291"/>
      <c r="HD14" s="1291"/>
      <c r="HE14" s="1291"/>
      <c r="HF14" s="1291"/>
      <c r="HG14" s="1291"/>
      <c r="HH14" s="1291"/>
      <c r="HI14" s="1291"/>
      <c r="HJ14" s="1291"/>
      <c r="HK14" s="1291"/>
      <c r="HL14" s="1291"/>
      <c r="HM14" s="1291"/>
      <c r="HN14" s="1291"/>
      <c r="HO14" s="1291"/>
      <c r="HP14" s="1291"/>
    </row>
    <row r="15" spans="1:224" x14ac:dyDescent="0.3">
      <c r="A15" s="1394" t="s">
        <v>557</v>
      </c>
      <c r="B15" s="1334"/>
      <c r="C15" s="1334"/>
      <c r="D15" s="1334"/>
      <c r="E15" s="1334"/>
      <c r="F15" s="1334"/>
      <c r="G15" s="1334"/>
      <c r="H15" s="1334"/>
      <c r="I15" s="1334"/>
      <c r="J15" s="1335"/>
      <c r="K15" s="1336"/>
      <c r="L15" s="1335"/>
      <c r="M15" s="1339"/>
      <c r="N15" s="1338"/>
      <c r="O15" s="1339"/>
      <c r="P15" s="1337"/>
      <c r="Q15" s="1337"/>
      <c r="R15" s="1340"/>
      <c r="S15" s="1341"/>
      <c r="T15" s="1337"/>
      <c r="U15" s="1337"/>
      <c r="V15" s="1342"/>
      <c r="W15" s="1339"/>
      <c r="X15" s="1337"/>
      <c r="Y15" s="1337"/>
      <c r="Z15" s="1338"/>
      <c r="AA15" s="1341"/>
      <c r="AB15" s="1337"/>
      <c r="AC15" s="1337"/>
      <c r="AD15" s="1342"/>
      <c r="AE15" s="1339"/>
      <c r="AF15" s="1337"/>
      <c r="AG15" s="1337"/>
      <c r="AH15" s="1338"/>
      <c r="AI15" s="1341"/>
      <c r="AJ15" s="1337"/>
      <c r="AK15" s="1337"/>
      <c r="AL15" s="1338"/>
      <c r="AM15" s="1386" t="s">
        <v>557</v>
      </c>
      <c r="AN15" s="1339"/>
      <c r="AO15" s="1337"/>
      <c r="AP15" s="1337"/>
      <c r="AQ15" s="1340"/>
      <c r="AR15" s="1339"/>
      <c r="AS15" s="1337"/>
      <c r="AT15" s="1337"/>
      <c r="AU15" s="1340"/>
      <c r="AV15" s="1341"/>
      <c r="AW15" s="1337">
        <v>10000</v>
      </c>
      <c r="AX15" s="1337">
        <v>8990</v>
      </c>
      <c r="AY15" s="1427">
        <f>SUM(AW15:AX15)</f>
        <v>18990</v>
      </c>
      <c r="AZ15" s="1339"/>
      <c r="BA15" s="1337"/>
      <c r="BB15" s="1337"/>
      <c r="BC15" s="1340"/>
      <c r="BD15" s="1417">
        <f t="shared" si="3"/>
        <v>18990</v>
      </c>
      <c r="BE15" s="1291"/>
      <c r="BF15" s="1291"/>
      <c r="BG15" s="1291"/>
      <c r="BH15" s="1291"/>
      <c r="BI15" s="1291"/>
      <c r="BJ15" s="1291"/>
      <c r="BK15" s="1291"/>
      <c r="BL15" s="1291"/>
      <c r="BM15" s="1291"/>
      <c r="BN15" s="1291"/>
      <c r="BO15" s="1291"/>
      <c r="BP15" s="1291"/>
      <c r="BQ15" s="1291"/>
      <c r="BR15" s="1291"/>
      <c r="BS15" s="1291"/>
      <c r="BT15" s="1291"/>
      <c r="BU15" s="1291"/>
      <c r="BV15" s="1291"/>
      <c r="BW15" s="1291"/>
      <c r="BX15" s="1291"/>
      <c r="BY15" s="1291"/>
      <c r="BZ15" s="1291"/>
      <c r="CA15" s="1291"/>
      <c r="CB15" s="1291"/>
      <c r="CC15" s="1291"/>
      <c r="CD15" s="1291"/>
      <c r="CE15" s="1291"/>
      <c r="CF15" s="1291"/>
      <c r="CG15" s="1291"/>
      <c r="CH15" s="1291"/>
      <c r="CI15" s="1291"/>
      <c r="CJ15" s="1291"/>
      <c r="CK15" s="1291"/>
      <c r="CL15" s="1291"/>
      <c r="CM15" s="1291"/>
      <c r="CN15" s="1291"/>
      <c r="CO15" s="1291"/>
      <c r="CP15" s="1291"/>
      <c r="CQ15" s="1291"/>
      <c r="CR15" s="1291"/>
      <c r="CS15" s="1291"/>
      <c r="CT15" s="1291"/>
      <c r="CU15" s="1291"/>
      <c r="CV15" s="1291"/>
      <c r="CW15" s="1291"/>
      <c r="CX15" s="1291"/>
      <c r="CY15" s="1291"/>
      <c r="CZ15" s="1291"/>
      <c r="DA15" s="1291"/>
      <c r="DB15" s="1291"/>
      <c r="DC15" s="1291"/>
      <c r="DD15" s="1291"/>
      <c r="DE15" s="1291"/>
      <c r="DF15" s="1291"/>
      <c r="DG15" s="1291"/>
      <c r="DH15" s="1291"/>
      <c r="DI15" s="1291"/>
      <c r="DJ15" s="1291"/>
      <c r="DK15" s="1291"/>
      <c r="DL15" s="1291"/>
      <c r="DM15" s="1291"/>
      <c r="DN15" s="1291"/>
      <c r="DO15" s="1291"/>
      <c r="DP15" s="1291"/>
      <c r="DQ15" s="1291"/>
      <c r="DR15" s="1291"/>
      <c r="DS15" s="1291"/>
      <c r="DT15" s="1291"/>
      <c r="DU15" s="1291"/>
      <c r="DV15" s="1291"/>
      <c r="DW15" s="1291"/>
      <c r="DX15" s="1291"/>
      <c r="DY15" s="1291"/>
      <c r="DZ15" s="1291"/>
      <c r="EA15" s="1291"/>
      <c r="EB15" s="1291"/>
      <c r="EC15" s="1291"/>
      <c r="ED15" s="1291"/>
      <c r="EE15" s="1291"/>
      <c r="EF15" s="1291"/>
      <c r="EG15" s="1291"/>
      <c r="EH15" s="1291"/>
      <c r="EI15" s="1291"/>
      <c r="EJ15" s="1291"/>
      <c r="EK15" s="1291"/>
      <c r="EL15" s="1291"/>
      <c r="EM15" s="1291"/>
      <c r="EN15" s="1291"/>
      <c r="EO15" s="1291"/>
      <c r="EP15" s="1291"/>
      <c r="EQ15" s="1291"/>
      <c r="ER15" s="1291"/>
      <c r="ES15" s="1291"/>
      <c r="ET15" s="1291"/>
      <c r="EU15" s="1291"/>
      <c r="EV15" s="1291"/>
      <c r="EW15" s="1291"/>
      <c r="EX15" s="1291"/>
      <c r="EY15" s="1291"/>
      <c r="EZ15" s="1291"/>
      <c r="FA15" s="1291"/>
      <c r="FB15" s="1291"/>
      <c r="FC15" s="1291"/>
      <c r="FD15" s="1291"/>
      <c r="FE15" s="1291"/>
      <c r="FF15" s="1291"/>
      <c r="FG15" s="1291"/>
      <c r="FH15" s="1291"/>
      <c r="FI15" s="1291"/>
      <c r="FJ15" s="1291"/>
      <c r="FK15" s="1291"/>
      <c r="FL15" s="1291"/>
      <c r="FM15" s="1291"/>
      <c r="FN15" s="1291"/>
      <c r="FO15" s="1291"/>
      <c r="FP15" s="1291"/>
      <c r="FQ15" s="1291"/>
      <c r="FR15" s="1291"/>
      <c r="FS15" s="1291"/>
      <c r="FT15" s="1291"/>
      <c r="FU15" s="1291"/>
      <c r="FV15" s="1291"/>
      <c r="FW15" s="1291"/>
      <c r="FX15" s="1291"/>
      <c r="FY15" s="1291"/>
      <c r="FZ15" s="1291"/>
      <c r="GA15" s="1291"/>
      <c r="GB15" s="1291"/>
      <c r="GC15" s="1291"/>
      <c r="GD15" s="1291"/>
      <c r="GE15" s="1291"/>
      <c r="GF15" s="1291"/>
      <c r="GG15" s="1291"/>
      <c r="GH15" s="1291"/>
      <c r="GI15" s="1291"/>
      <c r="GJ15" s="1291"/>
      <c r="GK15" s="1291"/>
      <c r="GL15" s="1291"/>
      <c r="GM15" s="1291"/>
      <c r="GN15" s="1291"/>
      <c r="GO15" s="1291"/>
      <c r="GP15" s="1291"/>
      <c r="GQ15" s="1291"/>
      <c r="GR15" s="1291"/>
      <c r="GS15" s="1291"/>
      <c r="GT15" s="1291"/>
      <c r="GU15" s="1291"/>
      <c r="GV15" s="1291"/>
      <c r="GW15" s="1291"/>
      <c r="GX15" s="1291"/>
      <c r="GY15" s="1291"/>
      <c r="GZ15" s="1291"/>
      <c r="HA15" s="1291"/>
      <c r="HB15" s="1291"/>
      <c r="HC15" s="1291"/>
      <c r="HD15" s="1291"/>
      <c r="HE15" s="1291"/>
      <c r="HF15" s="1291"/>
      <c r="HG15" s="1291"/>
      <c r="HH15" s="1291"/>
      <c r="HI15" s="1291"/>
      <c r="HJ15" s="1291"/>
      <c r="HK15" s="1291"/>
      <c r="HL15" s="1291"/>
      <c r="HM15" s="1291"/>
      <c r="HN15" s="1291"/>
      <c r="HO15" s="1291"/>
      <c r="HP15" s="1291"/>
    </row>
    <row r="16" spans="1:224" x14ac:dyDescent="0.3">
      <c r="A16" s="1394" t="s">
        <v>558</v>
      </c>
      <c r="B16" s="1334"/>
      <c r="C16" s="1334"/>
      <c r="D16" s="1334"/>
      <c r="E16" s="1334"/>
      <c r="F16" s="1334"/>
      <c r="G16" s="1334"/>
      <c r="H16" s="1334"/>
      <c r="I16" s="1334"/>
      <c r="J16" s="1335"/>
      <c r="K16" s="1336"/>
      <c r="L16" s="1335"/>
      <c r="M16" s="1339"/>
      <c r="N16" s="1338"/>
      <c r="O16" s="1339"/>
      <c r="P16" s="1337"/>
      <c r="Q16" s="1337"/>
      <c r="R16" s="1340"/>
      <c r="S16" s="1341"/>
      <c r="T16" s="1337">
        <v>95000</v>
      </c>
      <c r="U16" s="1337"/>
      <c r="V16" s="1342">
        <f>SUM(T16:U16)</f>
        <v>95000</v>
      </c>
      <c r="W16" s="1339"/>
      <c r="X16" s="1337"/>
      <c r="Y16" s="1337"/>
      <c r="Z16" s="1338"/>
      <c r="AA16" s="1341"/>
      <c r="AB16" s="1337"/>
      <c r="AC16" s="1337"/>
      <c r="AD16" s="1342"/>
      <c r="AE16" s="1339"/>
      <c r="AF16" s="1337"/>
      <c r="AG16" s="1337"/>
      <c r="AH16" s="1338"/>
      <c r="AI16" s="1341"/>
      <c r="AJ16" s="1337"/>
      <c r="AK16" s="1337"/>
      <c r="AL16" s="1338"/>
      <c r="AM16" s="1386" t="s">
        <v>558</v>
      </c>
      <c r="AN16" s="1339"/>
      <c r="AO16" s="1337"/>
      <c r="AP16" s="1337"/>
      <c r="AQ16" s="1340"/>
      <c r="AR16" s="1339"/>
      <c r="AS16" s="1337"/>
      <c r="AT16" s="1337"/>
      <c r="AU16" s="1340"/>
      <c r="AV16" s="1341"/>
      <c r="AW16" s="1337"/>
      <c r="AX16" s="1337"/>
      <c r="AY16" s="1427">
        <f>SUM(AW16:AX16)</f>
        <v>0</v>
      </c>
      <c r="AZ16" s="1339"/>
      <c r="BA16" s="1337"/>
      <c r="BB16" s="1337"/>
      <c r="BC16" s="1340"/>
      <c r="BD16" s="1417">
        <f t="shared" si="3"/>
        <v>95000</v>
      </c>
      <c r="BE16" s="1291"/>
      <c r="BF16" s="1291"/>
      <c r="BG16" s="1291"/>
      <c r="BH16" s="1291"/>
      <c r="BI16" s="1291"/>
      <c r="BJ16" s="1291"/>
      <c r="BK16" s="1291"/>
      <c r="BL16" s="1291"/>
      <c r="BM16" s="1291"/>
      <c r="BN16" s="1291"/>
      <c r="BO16" s="1291"/>
      <c r="BP16" s="1291"/>
      <c r="BQ16" s="1291"/>
      <c r="BR16" s="1291"/>
      <c r="BS16" s="1291"/>
      <c r="BT16" s="1291"/>
      <c r="BU16" s="1291"/>
      <c r="BV16" s="1291"/>
      <c r="BW16" s="1291"/>
      <c r="BX16" s="1291"/>
      <c r="BY16" s="1291"/>
      <c r="BZ16" s="1291"/>
      <c r="CA16" s="1291"/>
      <c r="CB16" s="1291"/>
      <c r="CC16" s="1291"/>
      <c r="CD16" s="1291"/>
      <c r="CE16" s="1291"/>
      <c r="CF16" s="1291"/>
      <c r="CG16" s="1291"/>
      <c r="CH16" s="1291"/>
      <c r="CI16" s="1291"/>
      <c r="CJ16" s="1291"/>
      <c r="CK16" s="1291"/>
      <c r="CL16" s="1291"/>
      <c r="CM16" s="1291"/>
      <c r="CN16" s="1291"/>
      <c r="CO16" s="1291"/>
      <c r="CP16" s="1291"/>
      <c r="CQ16" s="1291"/>
      <c r="CR16" s="1291"/>
      <c r="CS16" s="1291"/>
      <c r="CT16" s="1291"/>
      <c r="CU16" s="1291"/>
      <c r="CV16" s="1291"/>
      <c r="CW16" s="1291"/>
      <c r="CX16" s="1291"/>
      <c r="CY16" s="1291"/>
      <c r="CZ16" s="1291"/>
      <c r="DA16" s="1291"/>
      <c r="DB16" s="1291"/>
      <c r="DC16" s="1291"/>
      <c r="DD16" s="1291"/>
      <c r="DE16" s="1291"/>
      <c r="DF16" s="1291"/>
      <c r="DG16" s="1291"/>
      <c r="DH16" s="1291"/>
      <c r="DI16" s="1291"/>
      <c r="DJ16" s="1291"/>
      <c r="DK16" s="1291"/>
      <c r="DL16" s="1291"/>
      <c r="DM16" s="1291"/>
      <c r="DN16" s="1291"/>
      <c r="DO16" s="1291"/>
      <c r="DP16" s="1291"/>
      <c r="DQ16" s="1291"/>
      <c r="DR16" s="1291"/>
      <c r="DS16" s="1291"/>
      <c r="DT16" s="1291"/>
      <c r="DU16" s="1291"/>
      <c r="DV16" s="1291"/>
      <c r="DW16" s="1291"/>
      <c r="DX16" s="1291"/>
      <c r="DY16" s="1291"/>
      <c r="DZ16" s="1291"/>
      <c r="EA16" s="1291"/>
      <c r="EB16" s="1291"/>
      <c r="EC16" s="1291"/>
      <c r="ED16" s="1291"/>
      <c r="EE16" s="1291"/>
      <c r="EF16" s="1291"/>
      <c r="EG16" s="1291"/>
      <c r="EH16" s="1291"/>
      <c r="EI16" s="1291"/>
      <c r="EJ16" s="1291"/>
      <c r="EK16" s="1291"/>
      <c r="EL16" s="1291"/>
      <c r="EM16" s="1291"/>
      <c r="EN16" s="1291"/>
      <c r="EO16" s="1291"/>
      <c r="EP16" s="1291"/>
      <c r="EQ16" s="1291"/>
      <c r="ER16" s="1291"/>
      <c r="ES16" s="1291"/>
      <c r="ET16" s="1291"/>
      <c r="EU16" s="1291"/>
      <c r="EV16" s="1291"/>
      <c r="EW16" s="1291"/>
      <c r="EX16" s="1291"/>
      <c r="EY16" s="1291"/>
      <c r="EZ16" s="1291"/>
      <c r="FA16" s="1291"/>
      <c r="FB16" s="1291"/>
      <c r="FC16" s="1291"/>
      <c r="FD16" s="1291"/>
      <c r="FE16" s="1291"/>
      <c r="FF16" s="1291"/>
      <c r="FG16" s="1291"/>
      <c r="FH16" s="1291"/>
      <c r="FI16" s="1291"/>
      <c r="FJ16" s="1291"/>
      <c r="FK16" s="1291"/>
      <c r="FL16" s="1291"/>
      <c r="FM16" s="1291"/>
      <c r="FN16" s="1291"/>
      <c r="FO16" s="1291"/>
      <c r="FP16" s="1291"/>
      <c r="FQ16" s="1291"/>
      <c r="FR16" s="1291"/>
      <c r="FS16" s="1291"/>
      <c r="FT16" s="1291"/>
      <c r="FU16" s="1291"/>
      <c r="FV16" s="1291"/>
      <c r="FW16" s="1291"/>
      <c r="FX16" s="1291"/>
      <c r="FY16" s="1291"/>
      <c r="FZ16" s="1291"/>
      <c r="GA16" s="1291"/>
      <c r="GB16" s="1291"/>
      <c r="GC16" s="1291"/>
      <c r="GD16" s="1291"/>
      <c r="GE16" s="1291"/>
      <c r="GF16" s="1291"/>
      <c r="GG16" s="1291"/>
      <c r="GH16" s="1291"/>
      <c r="GI16" s="1291"/>
      <c r="GJ16" s="1291"/>
      <c r="GK16" s="1291"/>
      <c r="GL16" s="1291"/>
      <c r="GM16" s="1291"/>
      <c r="GN16" s="1291"/>
      <c r="GO16" s="1291"/>
      <c r="GP16" s="1291"/>
      <c r="GQ16" s="1291"/>
      <c r="GR16" s="1291"/>
      <c r="GS16" s="1291"/>
      <c r="GT16" s="1291"/>
      <c r="GU16" s="1291"/>
      <c r="GV16" s="1291"/>
      <c r="GW16" s="1291"/>
      <c r="GX16" s="1291"/>
      <c r="GY16" s="1291"/>
      <c r="GZ16" s="1291"/>
      <c r="HA16" s="1291"/>
      <c r="HB16" s="1291"/>
      <c r="HC16" s="1291"/>
      <c r="HD16" s="1291"/>
      <c r="HE16" s="1291"/>
      <c r="HF16" s="1291"/>
      <c r="HG16" s="1291"/>
      <c r="HH16" s="1291"/>
      <c r="HI16" s="1291"/>
      <c r="HJ16" s="1291"/>
      <c r="HK16" s="1291"/>
      <c r="HL16" s="1291"/>
      <c r="HM16" s="1291"/>
      <c r="HN16" s="1291"/>
      <c r="HO16" s="1291"/>
      <c r="HP16" s="1291"/>
    </row>
    <row r="17" spans="1:224" x14ac:dyDescent="0.3">
      <c r="A17" s="1394" t="s">
        <v>559</v>
      </c>
      <c r="B17" s="1334"/>
      <c r="C17" s="1334"/>
      <c r="D17" s="1334"/>
      <c r="E17" s="1334"/>
      <c r="F17" s="1334"/>
      <c r="G17" s="1334"/>
      <c r="H17" s="1334"/>
      <c r="I17" s="1334"/>
      <c r="J17" s="1335"/>
      <c r="K17" s="1336"/>
      <c r="L17" s="1335"/>
      <c r="M17" s="1339"/>
      <c r="N17" s="1338"/>
      <c r="O17" s="1339"/>
      <c r="P17" s="1337"/>
      <c r="Q17" s="1337"/>
      <c r="R17" s="1340"/>
      <c r="S17" s="1341"/>
      <c r="T17" s="1337"/>
      <c r="U17" s="1337"/>
      <c r="V17" s="1342"/>
      <c r="W17" s="1339"/>
      <c r="X17" s="1337"/>
      <c r="Y17" s="1337"/>
      <c r="Z17" s="1338"/>
      <c r="AA17" s="1341"/>
      <c r="AB17" s="1337"/>
      <c r="AC17" s="1337"/>
      <c r="AD17" s="1342"/>
      <c r="AE17" s="1339"/>
      <c r="AF17" s="1337"/>
      <c r="AG17" s="1337"/>
      <c r="AH17" s="1338"/>
      <c r="AI17" s="1341"/>
      <c r="AJ17" s="1337"/>
      <c r="AK17" s="1337"/>
      <c r="AL17" s="1338"/>
      <c r="AM17" s="1386" t="s">
        <v>559</v>
      </c>
      <c r="AN17" s="1339"/>
      <c r="AO17" s="1337"/>
      <c r="AP17" s="1337"/>
      <c r="AQ17" s="1340"/>
      <c r="AR17" s="1339"/>
      <c r="AS17" s="1337"/>
      <c r="AT17" s="1337"/>
      <c r="AU17" s="1340"/>
      <c r="AV17" s="1341"/>
      <c r="AW17" s="1337"/>
      <c r="AX17" s="1337"/>
      <c r="AY17" s="1427">
        <f>SUM(AW17:AX17)</f>
        <v>0</v>
      </c>
      <c r="AZ17" s="1339"/>
      <c r="BA17" s="1337"/>
      <c r="BB17" s="1337"/>
      <c r="BC17" s="1340"/>
      <c r="BD17" s="1417">
        <f t="shared" si="3"/>
        <v>0</v>
      </c>
      <c r="BE17" s="1291"/>
      <c r="BF17" s="1291"/>
      <c r="BG17" s="1291"/>
      <c r="BH17" s="1291"/>
      <c r="BI17" s="1291"/>
      <c r="BJ17" s="1291"/>
      <c r="BK17" s="1291"/>
      <c r="BL17" s="1291"/>
      <c r="BM17" s="1291"/>
      <c r="BN17" s="1291"/>
      <c r="BO17" s="1291"/>
      <c r="BP17" s="1291"/>
      <c r="BQ17" s="1291"/>
      <c r="BR17" s="1291"/>
      <c r="BS17" s="1291"/>
      <c r="BT17" s="1291"/>
      <c r="BU17" s="1291"/>
      <c r="BV17" s="1291"/>
      <c r="BW17" s="1291"/>
      <c r="BX17" s="1291"/>
      <c r="BY17" s="1291"/>
      <c r="BZ17" s="1291"/>
      <c r="CA17" s="1291"/>
      <c r="CB17" s="1291"/>
      <c r="CC17" s="1291"/>
      <c r="CD17" s="1291"/>
      <c r="CE17" s="1291"/>
      <c r="CF17" s="1291"/>
      <c r="CG17" s="1291"/>
      <c r="CH17" s="1291"/>
      <c r="CI17" s="1291"/>
      <c r="CJ17" s="1291"/>
      <c r="CK17" s="1291"/>
      <c r="CL17" s="1291"/>
      <c r="CM17" s="1291"/>
      <c r="CN17" s="1291"/>
      <c r="CO17" s="1291"/>
      <c r="CP17" s="1291"/>
      <c r="CQ17" s="1291"/>
      <c r="CR17" s="1291"/>
      <c r="CS17" s="1291"/>
      <c r="CT17" s="1291"/>
      <c r="CU17" s="1291"/>
      <c r="CV17" s="1291"/>
      <c r="CW17" s="1291"/>
      <c r="CX17" s="1291"/>
      <c r="CY17" s="1291"/>
      <c r="CZ17" s="1291"/>
      <c r="DA17" s="1291"/>
      <c r="DB17" s="1291"/>
      <c r="DC17" s="1291"/>
      <c r="DD17" s="1291"/>
      <c r="DE17" s="1291"/>
      <c r="DF17" s="1291"/>
      <c r="DG17" s="1291"/>
      <c r="DH17" s="1291"/>
      <c r="DI17" s="1291"/>
      <c r="DJ17" s="1291"/>
      <c r="DK17" s="1291"/>
      <c r="DL17" s="1291"/>
      <c r="DM17" s="1291"/>
      <c r="DN17" s="1291"/>
      <c r="DO17" s="1291"/>
      <c r="DP17" s="1291"/>
      <c r="DQ17" s="1291"/>
      <c r="DR17" s="1291"/>
      <c r="DS17" s="1291"/>
      <c r="DT17" s="1291"/>
      <c r="DU17" s="1291"/>
      <c r="DV17" s="1291"/>
      <c r="DW17" s="1291"/>
      <c r="DX17" s="1291"/>
      <c r="DY17" s="1291"/>
      <c r="DZ17" s="1291"/>
      <c r="EA17" s="1291"/>
      <c r="EB17" s="1291"/>
      <c r="EC17" s="1291"/>
      <c r="ED17" s="1291"/>
      <c r="EE17" s="1291"/>
      <c r="EF17" s="1291"/>
      <c r="EG17" s="1291"/>
      <c r="EH17" s="1291"/>
      <c r="EI17" s="1291"/>
      <c r="EJ17" s="1291"/>
      <c r="EK17" s="1291"/>
      <c r="EL17" s="1291"/>
      <c r="EM17" s="1291"/>
      <c r="EN17" s="1291"/>
      <c r="EO17" s="1291"/>
      <c r="EP17" s="1291"/>
      <c r="EQ17" s="1291"/>
      <c r="ER17" s="1291"/>
      <c r="ES17" s="1291"/>
      <c r="ET17" s="1291"/>
      <c r="EU17" s="1291"/>
      <c r="EV17" s="1291"/>
      <c r="EW17" s="1291"/>
      <c r="EX17" s="1291"/>
      <c r="EY17" s="1291"/>
      <c r="EZ17" s="1291"/>
      <c r="FA17" s="1291"/>
      <c r="FB17" s="1291"/>
      <c r="FC17" s="1291"/>
      <c r="FD17" s="1291"/>
      <c r="FE17" s="1291"/>
      <c r="FF17" s="1291"/>
      <c r="FG17" s="1291"/>
      <c r="FH17" s="1291"/>
      <c r="FI17" s="1291"/>
      <c r="FJ17" s="1291"/>
      <c r="FK17" s="1291"/>
      <c r="FL17" s="1291"/>
      <c r="FM17" s="1291"/>
      <c r="FN17" s="1291"/>
      <c r="FO17" s="1291"/>
      <c r="FP17" s="1291"/>
      <c r="FQ17" s="1291"/>
      <c r="FR17" s="1291"/>
      <c r="FS17" s="1291"/>
      <c r="FT17" s="1291"/>
      <c r="FU17" s="1291"/>
      <c r="FV17" s="1291"/>
      <c r="FW17" s="1291"/>
      <c r="FX17" s="1291"/>
      <c r="FY17" s="1291"/>
      <c r="FZ17" s="1291"/>
      <c r="GA17" s="1291"/>
      <c r="GB17" s="1291"/>
      <c r="GC17" s="1291"/>
      <c r="GD17" s="1291"/>
      <c r="GE17" s="1291"/>
      <c r="GF17" s="1291"/>
      <c r="GG17" s="1291"/>
      <c r="GH17" s="1291"/>
      <c r="GI17" s="1291"/>
      <c r="GJ17" s="1291"/>
      <c r="GK17" s="1291"/>
      <c r="GL17" s="1291"/>
      <c r="GM17" s="1291"/>
      <c r="GN17" s="1291"/>
      <c r="GO17" s="1291"/>
      <c r="GP17" s="1291"/>
      <c r="GQ17" s="1291"/>
      <c r="GR17" s="1291"/>
      <c r="GS17" s="1291"/>
      <c r="GT17" s="1291"/>
      <c r="GU17" s="1291"/>
      <c r="GV17" s="1291"/>
      <c r="GW17" s="1291"/>
      <c r="GX17" s="1291"/>
      <c r="GY17" s="1291"/>
      <c r="GZ17" s="1291"/>
      <c r="HA17" s="1291"/>
      <c r="HB17" s="1291"/>
      <c r="HC17" s="1291"/>
      <c r="HD17" s="1291"/>
      <c r="HE17" s="1291"/>
      <c r="HF17" s="1291"/>
      <c r="HG17" s="1291"/>
      <c r="HH17" s="1291"/>
      <c r="HI17" s="1291"/>
      <c r="HJ17" s="1291"/>
      <c r="HK17" s="1291"/>
      <c r="HL17" s="1291"/>
      <c r="HM17" s="1291"/>
      <c r="HN17" s="1291"/>
      <c r="HO17" s="1291"/>
      <c r="HP17" s="1291"/>
    </row>
    <row r="18" spans="1:224" x14ac:dyDescent="0.3">
      <c r="A18" s="1394" t="s">
        <v>560</v>
      </c>
      <c r="B18" s="1334"/>
      <c r="C18" s="1334"/>
      <c r="D18" s="1334"/>
      <c r="E18" s="1334"/>
      <c r="F18" s="1334"/>
      <c r="G18" s="1334"/>
      <c r="H18" s="1334"/>
      <c r="I18" s="1334"/>
      <c r="J18" s="1335"/>
      <c r="K18" s="1336"/>
      <c r="L18" s="1335"/>
      <c r="M18" s="1339"/>
      <c r="N18" s="1338"/>
      <c r="O18" s="1339"/>
      <c r="P18" s="1337"/>
      <c r="Q18" s="1337"/>
      <c r="R18" s="1340"/>
      <c r="S18" s="1341"/>
      <c r="T18" s="1337"/>
      <c r="U18" s="1337"/>
      <c r="V18" s="1342"/>
      <c r="W18" s="1339"/>
      <c r="X18" s="1337"/>
      <c r="Y18" s="1337"/>
      <c r="Z18" s="1338"/>
      <c r="AA18" s="1341"/>
      <c r="AB18" s="1337"/>
      <c r="AC18" s="1337"/>
      <c r="AD18" s="1342"/>
      <c r="AE18" s="1339"/>
      <c r="AF18" s="1337"/>
      <c r="AG18" s="1337"/>
      <c r="AH18" s="1338"/>
      <c r="AI18" s="1341"/>
      <c r="AJ18" s="1337"/>
      <c r="AK18" s="1337"/>
      <c r="AL18" s="1338"/>
      <c r="AM18" s="1386" t="s">
        <v>560</v>
      </c>
      <c r="AN18" s="1339"/>
      <c r="AO18" s="1337"/>
      <c r="AP18" s="1337"/>
      <c r="AQ18" s="1340"/>
      <c r="AR18" s="1339"/>
      <c r="AS18" s="1337"/>
      <c r="AT18" s="1337"/>
      <c r="AU18" s="1340"/>
      <c r="AV18" s="1341">
        <v>3500</v>
      </c>
      <c r="AW18" s="1337"/>
      <c r="AX18" s="1337"/>
      <c r="AY18" s="1427">
        <f>SUM(AV18:AX18)</f>
        <v>3500</v>
      </c>
      <c r="AZ18" s="1339"/>
      <c r="BA18" s="1337"/>
      <c r="BB18" s="1337"/>
      <c r="BC18" s="1340"/>
      <c r="BD18" s="1417">
        <f t="shared" si="3"/>
        <v>3500</v>
      </c>
      <c r="BE18" s="1291"/>
      <c r="BF18" s="1291"/>
      <c r="BG18" s="1291"/>
      <c r="BH18" s="1291"/>
      <c r="BI18" s="1291"/>
      <c r="BJ18" s="1291"/>
      <c r="BK18" s="1291"/>
      <c r="BL18" s="1291"/>
      <c r="BM18" s="1291"/>
      <c r="BN18" s="1291"/>
      <c r="BO18" s="1291"/>
      <c r="BP18" s="1291"/>
      <c r="BQ18" s="1291"/>
      <c r="BR18" s="1291"/>
      <c r="BS18" s="1291"/>
      <c r="BT18" s="1291"/>
      <c r="BU18" s="1291"/>
      <c r="BV18" s="1291"/>
      <c r="BW18" s="1291"/>
      <c r="BX18" s="1291"/>
      <c r="BY18" s="1291"/>
      <c r="BZ18" s="1291"/>
      <c r="CA18" s="1291"/>
      <c r="CB18" s="1291"/>
      <c r="CC18" s="1291"/>
      <c r="CD18" s="1291"/>
      <c r="CE18" s="1291"/>
      <c r="CF18" s="1291"/>
      <c r="CG18" s="1291"/>
      <c r="CH18" s="1291"/>
      <c r="CI18" s="1291"/>
      <c r="CJ18" s="1291"/>
      <c r="CK18" s="1291"/>
      <c r="CL18" s="1291"/>
      <c r="CM18" s="1291"/>
      <c r="CN18" s="1291"/>
      <c r="CO18" s="1291"/>
      <c r="CP18" s="1291"/>
      <c r="CQ18" s="1291"/>
      <c r="CR18" s="1291"/>
      <c r="CS18" s="1291"/>
      <c r="CT18" s="1291"/>
      <c r="CU18" s="1291"/>
      <c r="CV18" s="1291"/>
      <c r="CW18" s="1291"/>
      <c r="CX18" s="1291"/>
      <c r="CY18" s="1291"/>
      <c r="CZ18" s="1291"/>
      <c r="DA18" s="1291"/>
      <c r="DB18" s="1291"/>
      <c r="DC18" s="1291"/>
      <c r="DD18" s="1291"/>
      <c r="DE18" s="1291"/>
      <c r="DF18" s="1291"/>
      <c r="DG18" s="1291"/>
      <c r="DH18" s="1291"/>
      <c r="DI18" s="1291"/>
      <c r="DJ18" s="1291"/>
      <c r="DK18" s="1291"/>
      <c r="DL18" s="1291"/>
      <c r="DM18" s="1291"/>
      <c r="DN18" s="1291"/>
      <c r="DO18" s="1291"/>
      <c r="DP18" s="1291"/>
      <c r="DQ18" s="1291"/>
      <c r="DR18" s="1291"/>
      <c r="DS18" s="1291"/>
      <c r="DT18" s="1291"/>
      <c r="DU18" s="1291"/>
      <c r="DV18" s="1291"/>
      <c r="DW18" s="1291"/>
      <c r="DX18" s="1291"/>
      <c r="DY18" s="1291"/>
      <c r="DZ18" s="1291"/>
      <c r="EA18" s="1291"/>
      <c r="EB18" s="1291"/>
      <c r="EC18" s="1291"/>
      <c r="ED18" s="1291"/>
      <c r="EE18" s="1291"/>
      <c r="EF18" s="1291"/>
      <c r="EG18" s="1291"/>
      <c r="EH18" s="1291"/>
      <c r="EI18" s="1291"/>
      <c r="EJ18" s="1291"/>
      <c r="EK18" s="1291"/>
      <c r="EL18" s="1291"/>
      <c r="EM18" s="1291"/>
      <c r="EN18" s="1291"/>
      <c r="EO18" s="1291"/>
      <c r="EP18" s="1291"/>
      <c r="EQ18" s="1291"/>
      <c r="ER18" s="1291"/>
      <c r="ES18" s="1291"/>
      <c r="ET18" s="1291"/>
      <c r="EU18" s="1291"/>
      <c r="EV18" s="1291"/>
      <c r="EW18" s="1291"/>
      <c r="EX18" s="1291"/>
      <c r="EY18" s="1291"/>
      <c r="EZ18" s="1291"/>
      <c r="FA18" s="1291"/>
      <c r="FB18" s="1291"/>
      <c r="FC18" s="1291"/>
      <c r="FD18" s="1291"/>
      <c r="FE18" s="1291"/>
      <c r="FF18" s="1291"/>
      <c r="FG18" s="1291"/>
      <c r="FH18" s="1291"/>
      <c r="FI18" s="1291"/>
      <c r="FJ18" s="1291"/>
      <c r="FK18" s="1291"/>
      <c r="FL18" s="1291"/>
      <c r="FM18" s="1291"/>
      <c r="FN18" s="1291"/>
      <c r="FO18" s="1291"/>
      <c r="FP18" s="1291"/>
      <c r="FQ18" s="1291"/>
      <c r="FR18" s="1291"/>
      <c r="FS18" s="1291"/>
      <c r="FT18" s="1291"/>
      <c r="FU18" s="1291"/>
      <c r="FV18" s="1291"/>
      <c r="FW18" s="1291"/>
      <c r="FX18" s="1291"/>
      <c r="FY18" s="1291"/>
      <c r="FZ18" s="1291"/>
      <c r="GA18" s="1291"/>
      <c r="GB18" s="1291"/>
      <c r="GC18" s="1291"/>
      <c r="GD18" s="1291"/>
      <c r="GE18" s="1291"/>
      <c r="GF18" s="1291"/>
      <c r="GG18" s="1291"/>
      <c r="GH18" s="1291"/>
      <c r="GI18" s="1291"/>
      <c r="GJ18" s="1291"/>
      <c r="GK18" s="1291"/>
      <c r="GL18" s="1291"/>
      <c r="GM18" s="1291"/>
      <c r="GN18" s="1291"/>
      <c r="GO18" s="1291"/>
      <c r="GP18" s="1291"/>
      <c r="GQ18" s="1291"/>
      <c r="GR18" s="1291"/>
      <c r="GS18" s="1291"/>
      <c r="GT18" s="1291"/>
      <c r="GU18" s="1291"/>
      <c r="GV18" s="1291"/>
      <c r="GW18" s="1291"/>
      <c r="GX18" s="1291"/>
      <c r="GY18" s="1291"/>
      <c r="GZ18" s="1291"/>
      <c r="HA18" s="1291"/>
      <c r="HB18" s="1291"/>
      <c r="HC18" s="1291"/>
      <c r="HD18" s="1291"/>
      <c r="HE18" s="1291"/>
      <c r="HF18" s="1291"/>
      <c r="HG18" s="1291"/>
      <c r="HH18" s="1291"/>
      <c r="HI18" s="1291"/>
      <c r="HJ18" s="1291"/>
      <c r="HK18" s="1291"/>
      <c r="HL18" s="1291"/>
      <c r="HM18" s="1291"/>
      <c r="HN18" s="1291"/>
      <c r="HO18" s="1291"/>
      <c r="HP18" s="1291"/>
    </row>
    <row r="19" spans="1:224" x14ac:dyDescent="0.3">
      <c r="A19" s="1394" t="s">
        <v>561</v>
      </c>
      <c r="B19" s="1334"/>
      <c r="C19" s="1334"/>
      <c r="D19" s="1334"/>
      <c r="E19" s="1334"/>
      <c r="F19" s="1334"/>
      <c r="G19" s="1334"/>
      <c r="H19" s="1334"/>
      <c r="I19" s="1334"/>
      <c r="J19" s="1335"/>
      <c r="K19" s="1336"/>
      <c r="L19" s="1335"/>
      <c r="M19" s="1339"/>
      <c r="N19" s="1338"/>
      <c r="O19" s="1339"/>
      <c r="P19" s="1337"/>
      <c r="Q19" s="1337"/>
      <c r="R19" s="1340"/>
      <c r="S19" s="1341"/>
      <c r="T19" s="1337"/>
      <c r="U19" s="1337"/>
      <c r="V19" s="1342"/>
      <c r="W19" s="1339"/>
      <c r="X19" s="1337"/>
      <c r="Y19" s="1337"/>
      <c r="Z19" s="1338">
        <f>SUM(W19:Y19)</f>
        <v>0</v>
      </c>
      <c r="AA19" s="1343">
        <v>1000</v>
      </c>
      <c r="AB19" s="1343">
        <v>1000</v>
      </c>
      <c r="AC19" s="1343">
        <v>5000</v>
      </c>
      <c r="AD19" s="1342">
        <f>SUM(AA19:AC19)</f>
        <v>7000</v>
      </c>
      <c r="AE19" s="1339"/>
      <c r="AF19" s="1337"/>
      <c r="AG19" s="1337"/>
      <c r="AH19" s="1338"/>
      <c r="AI19" s="1341">
        <v>2400</v>
      </c>
      <c r="AJ19" s="1337"/>
      <c r="AK19" s="1337"/>
      <c r="AL19" s="1338">
        <f>SUM(AI19:AK19)</f>
        <v>2400</v>
      </c>
      <c r="AM19" s="1386" t="s">
        <v>561</v>
      </c>
      <c r="AN19" s="1339"/>
      <c r="AO19" s="1337"/>
      <c r="AP19" s="1337"/>
      <c r="AQ19" s="1340"/>
      <c r="AR19" s="1339"/>
      <c r="AS19" s="1337"/>
      <c r="AT19" s="1337"/>
      <c r="AU19" s="1340"/>
      <c r="AV19" s="1341"/>
      <c r="AW19" s="1337"/>
      <c r="AX19" s="1337"/>
      <c r="AY19" s="1342">
        <f>SUM(AW19:AX19)</f>
        <v>0</v>
      </c>
      <c r="AZ19" s="1339">
        <v>1050</v>
      </c>
      <c r="BA19" s="1337">
        <v>1050</v>
      </c>
      <c r="BB19" s="1337">
        <v>1050</v>
      </c>
      <c r="BC19" s="1340">
        <f>SUM(AZ19:BB19)</f>
        <v>3150</v>
      </c>
      <c r="BD19" s="1417">
        <f t="shared" si="3"/>
        <v>12550</v>
      </c>
      <c r="BE19" s="1291"/>
      <c r="BF19" s="1291"/>
      <c r="BG19" s="1291"/>
      <c r="BH19" s="1291"/>
      <c r="BI19" s="1291"/>
      <c r="BJ19" s="1291"/>
      <c r="BK19" s="1291"/>
      <c r="BL19" s="1291"/>
      <c r="BM19" s="1291"/>
      <c r="BN19" s="1291"/>
      <c r="BO19" s="1291"/>
      <c r="BP19" s="1291"/>
      <c r="BQ19" s="1291"/>
      <c r="BR19" s="1291"/>
      <c r="BS19" s="1291"/>
      <c r="BT19" s="1291"/>
      <c r="BU19" s="1291"/>
      <c r="BV19" s="1291"/>
      <c r="BW19" s="1291"/>
      <c r="BX19" s="1291"/>
      <c r="BY19" s="1291"/>
      <c r="BZ19" s="1291"/>
      <c r="CA19" s="1291"/>
      <c r="CB19" s="1291"/>
      <c r="CC19" s="1291"/>
      <c r="CD19" s="1291"/>
      <c r="CE19" s="1291"/>
      <c r="CF19" s="1291"/>
      <c r="CG19" s="1291"/>
      <c r="CH19" s="1291"/>
      <c r="CI19" s="1291"/>
      <c r="CJ19" s="1291"/>
      <c r="CK19" s="1291"/>
      <c r="CL19" s="1291"/>
      <c r="CM19" s="1291"/>
      <c r="CN19" s="1291"/>
      <c r="CO19" s="1291"/>
      <c r="CP19" s="1291"/>
      <c r="CQ19" s="1291"/>
      <c r="CR19" s="1291"/>
      <c r="CS19" s="1291"/>
      <c r="CT19" s="1291"/>
      <c r="CU19" s="1291"/>
      <c r="CV19" s="1291"/>
      <c r="CW19" s="1291"/>
      <c r="CX19" s="1291"/>
      <c r="CY19" s="1291"/>
      <c r="CZ19" s="1291"/>
      <c r="DA19" s="1291"/>
      <c r="DB19" s="1291"/>
      <c r="DC19" s="1291"/>
      <c r="DD19" s="1291"/>
      <c r="DE19" s="1291"/>
      <c r="DF19" s="1291"/>
      <c r="DG19" s="1291"/>
      <c r="DH19" s="1291"/>
      <c r="DI19" s="1291"/>
      <c r="DJ19" s="1291"/>
      <c r="DK19" s="1291"/>
      <c r="DL19" s="1291"/>
      <c r="DM19" s="1291"/>
      <c r="DN19" s="1291"/>
      <c r="DO19" s="1291"/>
      <c r="DP19" s="1291"/>
      <c r="DQ19" s="1291"/>
      <c r="DR19" s="1291"/>
      <c r="DS19" s="1291"/>
      <c r="DT19" s="1291"/>
      <c r="DU19" s="1291"/>
      <c r="DV19" s="1291"/>
      <c r="DW19" s="1291"/>
      <c r="DX19" s="1291"/>
      <c r="DY19" s="1291"/>
      <c r="DZ19" s="1291"/>
      <c r="EA19" s="1291"/>
      <c r="EB19" s="1291"/>
      <c r="EC19" s="1291"/>
      <c r="ED19" s="1291"/>
      <c r="EE19" s="1291"/>
      <c r="EF19" s="1291"/>
      <c r="EG19" s="1291"/>
      <c r="EH19" s="1291"/>
      <c r="EI19" s="1291"/>
      <c r="EJ19" s="1291"/>
      <c r="EK19" s="1291"/>
      <c r="EL19" s="1291"/>
      <c r="EM19" s="1291"/>
      <c r="EN19" s="1291"/>
      <c r="EO19" s="1291"/>
      <c r="EP19" s="1291"/>
      <c r="EQ19" s="1291"/>
      <c r="ER19" s="1291"/>
      <c r="ES19" s="1291"/>
      <c r="ET19" s="1291"/>
      <c r="EU19" s="1291"/>
      <c r="EV19" s="1291"/>
      <c r="EW19" s="1291"/>
      <c r="EX19" s="1291"/>
      <c r="EY19" s="1291"/>
      <c r="EZ19" s="1291"/>
      <c r="FA19" s="1291"/>
      <c r="FB19" s="1291"/>
      <c r="FC19" s="1291"/>
      <c r="FD19" s="1291"/>
      <c r="FE19" s="1291"/>
      <c r="FF19" s="1291"/>
      <c r="FG19" s="1291"/>
      <c r="FH19" s="1291"/>
      <c r="FI19" s="1291"/>
      <c r="FJ19" s="1291"/>
      <c r="FK19" s="1291"/>
      <c r="FL19" s="1291"/>
      <c r="FM19" s="1291"/>
      <c r="FN19" s="1291"/>
      <c r="FO19" s="1291"/>
      <c r="FP19" s="1291"/>
      <c r="FQ19" s="1291"/>
      <c r="FR19" s="1291"/>
      <c r="FS19" s="1291"/>
      <c r="FT19" s="1291"/>
      <c r="FU19" s="1291"/>
      <c r="FV19" s="1291"/>
      <c r="FW19" s="1291"/>
      <c r="FX19" s="1291"/>
      <c r="FY19" s="1291"/>
      <c r="FZ19" s="1291"/>
      <c r="GA19" s="1291"/>
      <c r="GB19" s="1291"/>
      <c r="GC19" s="1291"/>
      <c r="GD19" s="1291"/>
      <c r="GE19" s="1291"/>
      <c r="GF19" s="1291"/>
      <c r="GG19" s="1291"/>
      <c r="GH19" s="1291"/>
      <c r="GI19" s="1291"/>
      <c r="GJ19" s="1291"/>
      <c r="GK19" s="1291"/>
      <c r="GL19" s="1291"/>
      <c r="GM19" s="1291"/>
      <c r="GN19" s="1291"/>
      <c r="GO19" s="1291"/>
      <c r="GP19" s="1291"/>
      <c r="GQ19" s="1291"/>
      <c r="GR19" s="1291"/>
      <c r="GS19" s="1291"/>
      <c r="GT19" s="1291"/>
      <c r="GU19" s="1291"/>
      <c r="GV19" s="1291"/>
      <c r="GW19" s="1291"/>
      <c r="GX19" s="1291"/>
      <c r="GY19" s="1291"/>
      <c r="GZ19" s="1291"/>
      <c r="HA19" s="1291"/>
      <c r="HB19" s="1291"/>
      <c r="HC19" s="1291"/>
      <c r="HD19" s="1291"/>
      <c r="HE19" s="1291"/>
      <c r="HF19" s="1291"/>
      <c r="HG19" s="1291"/>
      <c r="HH19" s="1291"/>
      <c r="HI19" s="1291"/>
      <c r="HJ19" s="1291"/>
      <c r="HK19" s="1291"/>
      <c r="HL19" s="1291"/>
      <c r="HM19" s="1291"/>
      <c r="HN19" s="1291"/>
      <c r="HO19" s="1291"/>
      <c r="HP19" s="1291"/>
    </row>
    <row r="20" spans="1:224" x14ac:dyDescent="0.3">
      <c r="A20" s="1395" t="s">
        <v>562</v>
      </c>
      <c r="B20" s="1344"/>
      <c r="C20" s="1344"/>
      <c r="D20" s="1344"/>
      <c r="E20" s="1344"/>
      <c r="F20" s="1344"/>
      <c r="G20" s="1344"/>
      <c r="H20" s="1344">
        <f t="shared" ref="H20:P20" si="5">SUM(H21:H25)</f>
        <v>0</v>
      </c>
      <c r="I20" s="1344">
        <f t="shared" si="5"/>
        <v>0</v>
      </c>
      <c r="J20" s="1345">
        <f t="shared" si="5"/>
        <v>0</v>
      </c>
      <c r="K20" s="1346">
        <f t="shared" si="5"/>
        <v>0</v>
      </c>
      <c r="L20" s="1345">
        <f t="shared" si="5"/>
        <v>0</v>
      </c>
      <c r="M20" s="1349">
        <f>SUM(M21:M25)</f>
        <v>80000</v>
      </c>
      <c r="N20" s="1348">
        <f>SUM(M20)</f>
        <v>80000</v>
      </c>
      <c r="O20" s="1349">
        <f>SUM(O21:O25)</f>
        <v>0</v>
      </c>
      <c r="P20" s="1347">
        <f t="shared" si="5"/>
        <v>0</v>
      </c>
      <c r="Q20" s="1347">
        <f>SUM(Q21:Q25)</f>
        <v>550000</v>
      </c>
      <c r="R20" s="1348">
        <f>SUM(O20:Q20)</f>
        <v>550000</v>
      </c>
      <c r="S20" s="1350">
        <f>SUM(S21:S25)</f>
        <v>0</v>
      </c>
      <c r="T20" s="1347">
        <f>SUM(T21:T25)</f>
        <v>27200</v>
      </c>
      <c r="U20" s="1347">
        <f>SUM(U21:U25)</f>
        <v>0</v>
      </c>
      <c r="V20" s="1307">
        <f>SUM(T20:U20)</f>
        <v>27200</v>
      </c>
      <c r="W20" s="1349">
        <f>SUM(W21:W25)</f>
        <v>0</v>
      </c>
      <c r="X20" s="1347">
        <f>SUM(X21:X25)</f>
        <v>34500</v>
      </c>
      <c r="Y20" s="1347">
        <f>SUM(Y21:Y25)</f>
        <v>0</v>
      </c>
      <c r="Z20" s="1348">
        <f>SUM(W20:Y20)</f>
        <v>34500</v>
      </c>
      <c r="AA20" s="1350">
        <f>SUM(AA21:AA25)</f>
        <v>50000</v>
      </c>
      <c r="AB20" s="1347">
        <f>SUM(AB21:AB25)</f>
        <v>33000</v>
      </c>
      <c r="AC20" s="1347">
        <f>SUM(AC21:AC25)</f>
        <v>33000</v>
      </c>
      <c r="AD20" s="1351">
        <f>SUM(AA20:AC20)</f>
        <v>116000</v>
      </c>
      <c r="AE20" s="1349">
        <f>SUM(AE21:AE25)</f>
        <v>0</v>
      </c>
      <c r="AF20" s="1347">
        <f>SUM(AF21:AF25)</f>
        <v>0</v>
      </c>
      <c r="AG20" s="1347">
        <f>SUM(AG21:AG25)</f>
        <v>125000</v>
      </c>
      <c r="AH20" s="1348">
        <f>SUM(AE20:AG20)</f>
        <v>125000</v>
      </c>
      <c r="AI20" s="1350">
        <f>SUM(AI21:AI25)</f>
        <v>54000</v>
      </c>
      <c r="AJ20" s="1347">
        <f>SUM(AJ21:AJ25)</f>
        <v>15600</v>
      </c>
      <c r="AK20" s="1347">
        <f>SUM(AK21:AK25)</f>
        <v>0</v>
      </c>
      <c r="AL20" s="1348">
        <f>SUM(AI20:AK20)</f>
        <v>69600</v>
      </c>
      <c r="AM20" s="1387" t="s">
        <v>562</v>
      </c>
      <c r="AN20" s="1349">
        <f>SUM(AN21:AN25)</f>
        <v>0</v>
      </c>
      <c r="AO20" s="1347">
        <f>SUM(AO21:AO25)</f>
        <v>0</v>
      </c>
      <c r="AP20" s="1347">
        <f>SUM(AP21:AP25)</f>
        <v>0</v>
      </c>
      <c r="AQ20" s="1348"/>
      <c r="AR20" s="1349">
        <f>SUM(AR21:AR25)</f>
        <v>0</v>
      </c>
      <c r="AS20" s="1347">
        <f>SUM(AS21:AS25)</f>
        <v>0</v>
      </c>
      <c r="AT20" s="1347">
        <f>SUM(AT21:AT25)</f>
        <v>0</v>
      </c>
      <c r="AU20" s="1348"/>
      <c r="AV20" s="1350">
        <f>SUM(AV21:AV25)</f>
        <v>15000</v>
      </c>
      <c r="AW20" s="1347">
        <f>SUM(AW21:AW25)</f>
        <v>0</v>
      </c>
      <c r="AX20" s="1347">
        <f>SUM(AX21:AX25)</f>
        <v>21500</v>
      </c>
      <c r="AY20" s="1351">
        <f>SUM(AV20:AX20)</f>
        <v>36500</v>
      </c>
      <c r="AZ20" s="1349">
        <f>SUM(AZ21:AZ25)</f>
        <v>130000</v>
      </c>
      <c r="BA20" s="1347">
        <f>SUM(BA21:BA25)</f>
        <v>30000</v>
      </c>
      <c r="BB20" s="1347">
        <f>SUM(BB21:BB25)</f>
        <v>0</v>
      </c>
      <c r="BC20" s="1348">
        <f>SUM(AZ20:BB20)</f>
        <v>160000</v>
      </c>
      <c r="BD20" s="1418">
        <f>SUM(BD21:BD25)</f>
        <v>1198800</v>
      </c>
      <c r="BE20" s="1291"/>
      <c r="BF20" s="1291"/>
      <c r="BG20" s="1291"/>
      <c r="BH20" s="1291"/>
      <c r="BI20" s="1291"/>
      <c r="BJ20" s="1291"/>
      <c r="BK20" s="1291"/>
      <c r="BL20" s="1291"/>
      <c r="BM20" s="1291"/>
      <c r="BN20" s="1291"/>
      <c r="BO20" s="1291"/>
      <c r="BP20" s="1291"/>
      <c r="BQ20" s="1291"/>
      <c r="BR20" s="1291"/>
      <c r="BS20" s="1291"/>
      <c r="BT20" s="1291"/>
      <c r="BU20" s="1291"/>
      <c r="BV20" s="1291"/>
      <c r="BW20" s="1291"/>
      <c r="BX20" s="1291"/>
      <c r="BY20" s="1291"/>
      <c r="BZ20" s="1291"/>
      <c r="CA20" s="1291"/>
      <c r="CB20" s="1291"/>
      <c r="CC20" s="1291"/>
      <c r="CD20" s="1291"/>
      <c r="CE20" s="1291"/>
      <c r="CF20" s="1291"/>
      <c r="CG20" s="1291"/>
      <c r="CH20" s="1291"/>
      <c r="CI20" s="1291"/>
      <c r="CJ20" s="1291"/>
      <c r="CK20" s="1291"/>
      <c r="CL20" s="1291"/>
      <c r="CM20" s="1291"/>
      <c r="CN20" s="1291"/>
      <c r="CO20" s="1291"/>
      <c r="CP20" s="1291"/>
      <c r="CQ20" s="1291"/>
      <c r="CR20" s="1291"/>
      <c r="CS20" s="1291"/>
      <c r="CT20" s="1291"/>
      <c r="CU20" s="1291"/>
      <c r="CV20" s="1291"/>
      <c r="CW20" s="1291"/>
      <c r="CX20" s="1291"/>
      <c r="CY20" s="1291"/>
      <c r="CZ20" s="1291"/>
      <c r="DA20" s="1291"/>
      <c r="DB20" s="1291"/>
      <c r="DC20" s="1291"/>
      <c r="DD20" s="1291"/>
      <c r="DE20" s="1291"/>
      <c r="DF20" s="1291"/>
      <c r="DG20" s="1291"/>
      <c r="DH20" s="1291"/>
      <c r="DI20" s="1291"/>
      <c r="DJ20" s="1291"/>
      <c r="DK20" s="1291"/>
      <c r="DL20" s="1291"/>
      <c r="DM20" s="1291"/>
      <c r="DN20" s="1291"/>
      <c r="DO20" s="1291"/>
      <c r="DP20" s="1291"/>
      <c r="DQ20" s="1291"/>
      <c r="DR20" s="1291"/>
      <c r="DS20" s="1291"/>
      <c r="DT20" s="1291"/>
      <c r="DU20" s="1291"/>
      <c r="DV20" s="1291"/>
      <c r="DW20" s="1291"/>
      <c r="DX20" s="1291"/>
      <c r="DY20" s="1291"/>
      <c r="DZ20" s="1291"/>
      <c r="EA20" s="1291"/>
      <c r="EB20" s="1291"/>
      <c r="EC20" s="1291"/>
      <c r="ED20" s="1291"/>
      <c r="EE20" s="1291"/>
      <c r="EF20" s="1291"/>
      <c r="EG20" s="1291"/>
      <c r="EH20" s="1291"/>
      <c r="EI20" s="1291"/>
      <c r="EJ20" s="1291"/>
      <c r="EK20" s="1291"/>
      <c r="EL20" s="1291"/>
      <c r="EM20" s="1291"/>
      <c r="EN20" s="1291"/>
      <c r="EO20" s="1291"/>
      <c r="EP20" s="1291"/>
      <c r="EQ20" s="1291"/>
      <c r="ER20" s="1291"/>
      <c r="ES20" s="1291"/>
      <c r="ET20" s="1291"/>
      <c r="EU20" s="1291"/>
      <c r="EV20" s="1291"/>
      <c r="EW20" s="1291"/>
      <c r="EX20" s="1291"/>
      <c r="EY20" s="1291"/>
      <c r="EZ20" s="1291"/>
      <c r="FA20" s="1291"/>
      <c r="FB20" s="1291"/>
      <c r="FC20" s="1291"/>
      <c r="FD20" s="1291"/>
      <c r="FE20" s="1291"/>
      <c r="FF20" s="1291"/>
      <c r="FG20" s="1291"/>
      <c r="FH20" s="1291"/>
      <c r="FI20" s="1291"/>
      <c r="FJ20" s="1291"/>
      <c r="FK20" s="1291"/>
      <c r="FL20" s="1291"/>
      <c r="FM20" s="1291"/>
      <c r="FN20" s="1291"/>
      <c r="FO20" s="1291"/>
      <c r="FP20" s="1291"/>
      <c r="FQ20" s="1291"/>
      <c r="FR20" s="1291"/>
      <c r="FS20" s="1291"/>
      <c r="FT20" s="1291"/>
      <c r="FU20" s="1291"/>
      <c r="FV20" s="1291"/>
      <c r="FW20" s="1291"/>
      <c r="FX20" s="1291"/>
      <c r="FY20" s="1291"/>
      <c r="FZ20" s="1291"/>
      <c r="GA20" s="1291"/>
      <c r="GB20" s="1291"/>
      <c r="GC20" s="1291"/>
      <c r="GD20" s="1291"/>
      <c r="GE20" s="1291"/>
      <c r="GF20" s="1291"/>
      <c r="GG20" s="1291"/>
      <c r="GH20" s="1291"/>
      <c r="GI20" s="1291"/>
      <c r="GJ20" s="1291"/>
      <c r="GK20" s="1291"/>
      <c r="GL20" s="1291"/>
      <c r="GM20" s="1291"/>
      <c r="GN20" s="1291"/>
      <c r="GO20" s="1291"/>
      <c r="GP20" s="1291"/>
      <c r="GQ20" s="1291"/>
      <c r="GR20" s="1291"/>
      <c r="GS20" s="1291"/>
      <c r="GT20" s="1291"/>
      <c r="GU20" s="1291"/>
      <c r="GV20" s="1291"/>
      <c r="GW20" s="1291"/>
      <c r="GX20" s="1291"/>
      <c r="GY20" s="1291"/>
      <c r="GZ20" s="1291"/>
      <c r="HA20" s="1291"/>
      <c r="HB20" s="1291"/>
      <c r="HC20" s="1291"/>
      <c r="HD20" s="1291"/>
      <c r="HE20" s="1291"/>
      <c r="HF20" s="1291"/>
      <c r="HG20" s="1291"/>
      <c r="HH20" s="1291"/>
      <c r="HI20" s="1291"/>
      <c r="HJ20" s="1291"/>
      <c r="HK20" s="1291"/>
      <c r="HL20" s="1291"/>
      <c r="HM20" s="1291"/>
      <c r="HN20" s="1291"/>
      <c r="HO20" s="1291"/>
      <c r="HP20" s="1291"/>
    </row>
    <row r="21" spans="1:224" x14ac:dyDescent="0.3">
      <c r="A21" s="1394" t="s">
        <v>563</v>
      </c>
      <c r="B21" s="1334"/>
      <c r="C21" s="1334"/>
      <c r="D21" s="1334"/>
      <c r="E21" s="1334"/>
      <c r="F21" s="1334"/>
      <c r="G21" s="1334"/>
      <c r="H21" s="1334"/>
      <c r="I21" s="1334"/>
      <c r="J21" s="1335"/>
      <c r="K21" s="1336"/>
      <c r="L21" s="1335"/>
      <c r="M21" s="1339"/>
      <c r="N21" s="1338"/>
      <c r="O21" s="1339"/>
      <c r="P21" s="1337"/>
      <c r="Q21" s="1337">
        <f>50000+200000</f>
        <v>250000</v>
      </c>
      <c r="R21" s="1340">
        <f>SUM(Q21)</f>
        <v>250000</v>
      </c>
      <c r="S21" s="1341"/>
      <c r="T21" s="1431">
        <v>4200</v>
      </c>
      <c r="U21" s="1337"/>
      <c r="V21" s="1342">
        <f>SUM(T21:U21)</f>
        <v>4200</v>
      </c>
      <c r="W21" s="1339"/>
      <c r="X21" s="1337">
        <v>15000</v>
      </c>
      <c r="Y21" s="1337"/>
      <c r="Z21" s="1338">
        <f>SUM(W21:Y21)</f>
        <v>15000</v>
      </c>
      <c r="AA21" s="1352">
        <v>20000</v>
      </c>
      <c r="AB21" s="1352">
        <v>9000</v>
      </c>
      <c r="AC21" s="1352">
        <v>9000</v>
      </c>
      <c r="AD21" s="1342">
        <f>SUM(AA21:AC21)</f>
        <v>38000</v>
      </c>
      <c r="AE21" s="1339"/>
      <c r="AF21" s="1337"/>
      <c r="AG21" s="1337">
        <v>28000</v>
      </c>
      <c r="AH21" s="1338">
        <f>SUM(AE21:AG21)</f>
        <v>28000</v>
      </c>
      <c r="AI21" s="1341">
        <v>54000</v>
      </c>
      <c r="AJ21" s="1337"/>
      <c r="AK21" s="1337"/>
      <c r="AL21" s="1338">
        <f>SUM(AI21:AK21)</f>
        <v>54000</v>
      </c>
      <c r="AM21" s="1386" t="s">
        <v>563</v>
      </c>
      <c r="AN21" s="1339"/>
      <c r="AO21" s="1337"/>
      <c r="AP21" s="1337"/>
      <c r="AQ21" s="1340"/>
      <c r="AR21" s="1339"/>
      <c r="AS21" s="1337"/>
      <c r="AT21" s="1337"/>
      <c r="AU21" s="1340"/>
      <c r="AV21" s="1353">
        <v>15000</v>
      </c>
      <c r="AW21" s="1353"/>
      <c r="AX21" s="1353">
        <v>16500</v>
      </c>
      <c r="AY21" s="1427">
        <f>SUM(AV21:AX21)</f>
        <v>31500</v>
      </c>
      <c r="AZ21" s="1339">
        <v>55000</v>
      </c>
      <c r="BA21" s="1337"/>
      <c r="BB21" s="1337"/>
      <c r="BC21" s="1340">
        <f>SUM(AZ21:BB21)</f>
        <v>55000</v>
      </c>
      <c r="BD21" s="1417">
        <f t="shared" si="3"/>
        <v>475700</v>
      </c>
      <c r="BE21" s="1291"/>
      <c r="BF21" s="1291"/>
      <c r="BG21" s="1291"/>
      <c r="BH21" s="1291"/>
      <c r="BI21" s="1291"/>
      <c r="BJ21" s="1291"/>
      <c r="BK21" s="1291"/>
      <c r="BL21" s="1291"/>
      <c r="BM21" s="1291"/>
      <c r="BN21" s="1291"/>
      <c r="BO21" s="1291"/>
      <c r="BP21" s="1291"/>
      <c r="BQ21" s="1291"/>
      <c r="BR21" s="1291"/>
      <c r="BS21" s="1291"/>
      <c r="BT21" s="1291"/>
      <c r="BU21" s="1291"/>
      <c r="BV21" s="1291"/>
      <c r="BW21" s="1291"/>
      <c r="BX21" s="1291"/>
      <c r="BY21" s="1291"/>
      <c r="BZ21" s="1291"/>
      <c r="CA21" s="1291"/>
      <c r="CB21" s="1291"/>
      <c r="CC21" s="1291"/>
      <c r="CD21" s="1291"/>
      <c r="CE21" s="1291"/>
      <c r="CF21" s="1291"/>
      <c r="CG21" s="1291"/>
      <c r="CH21" s="1291"/>
      <c r="CI21" s="1291"/>
      <c r="CJ21" s="1291"/>
      <c r="CK21" s="1291"/>
      <c r="CL21" s="1291"/>
      <c r="CM21" s="1291"/>
      <c r="CN21" s="1291"/>
      <c r="CO21" s="1291"/>
      <c r="CP21" s="1291"/>
      <c r="CQ21" s="1291"/>
      <c r="CR21" s="1291"/>
      <c r="CS21" s="1291"/>
      <c r="CT21" s="1291"/>
      <c r="CU21" s="1291"/>
      <c r="CV21" s="1291"/>
      <c r="CW21" s="1291"/>
      <c r="CX21" s="1291"/>
      <c r="CY21" s="1291"/>
      <c r="CZ21" s="1291"/>
      <c r="DA21" s="1291"/>
      <c r="DB21" s="1291"/>
      <c r="DC21" s="1291"/>
      <c r="DD21" s="1291"/>
      <c r="DE21" s="1291"/>
      <c r="DF21" s="1291"/>
      <c r="DG21" s="1291"/>
      <c r="DH21" s="1291"/>
      <c r="DI21" s="1291"/>
      <c r="DJ21" s="1291"/>
      <c r="DK21" s="1291"/>
      <c r="DL21" s="1291"/>
      <c r="DM21" s="1291"/>
      <c r="DN21" s="1291"/>
      <c r="DO21" s="1291"/>
      <c r="DP21" s="1291"/>
      <c r="DQ21" s="1291"/>
      <c r="DR21" s="1291"/>
      <c r="DS21" s="1291"/>
      <c r="DT21" s="1291"/>
      <c r="DU21" s="1291"/>
      <c r="DV21" s="1291"/>
      <c r="DW21" s="1291"/>
      <c r="DX21" s="1291"/>
      <c r="DY21" s="1291"/>
      <c r="DZ21" s="1291"/>
      <c r="EA21" s="1291"/>
      <c r="EB21" s="1291"/>
      <c r="EC21" s="1291"/>
      <c r="ED21" s="1291"/>
      <c r="EE21" s="1291"/>
      <c r="EF21" s="1291"/>
      <c r="EG21" s="1291"/>
      <c r="EH21" s="1291"/>
      <c r="EI21" s="1291"/>
      <c r="EJ21" s="1291"/>
      <c r="EK21" s="1291"/>
      <c r="EL21" s="1291"/>
      <c r="EM21" s="1291"/>
      <c r="EN21" s="1291"/>
      <c r="EO21" s="1291"/>
      <c r="EP21" s="1291"/>
      <c r="EQ21" s="1291"/>
      <c r="ER21" s="1291"/>
      <c r="ES21" s="1291"/>
      <c r="ET21" s="1291"/>
      <c r="EU21" s="1291"/>
      <c r="EV21" s="1291"/>
      <c r="EW21" s="1291"/>
      <c r="EX21" s="1291"/>
      <c r="EY21" s="1291"/>
      <c r="EZ21" s="1291"/>
      <c r="FA21" s="1291"/>
      <c r="FB21" s="1291"/>
      <c r="FC21" s="1291"/>
      <c r="FD21" s="1291"/>
      <c r="FE21" s="1291"/>
      <c r="FF21" s="1291"/>
      <c r="FG21" s="1291"/>
      <c r="FH21" s="1291"/>
      <c r="FI21" s="1291"/>
      <c r="FJ21" s="1291"/>
      <c r="FK21" s="1291"/>
      <c r="FL21" s="1291"/>
      <c r="FM21" s="1291"/>
      <c r="FN21" s="1291"/>
      <c r="FO21" s="1291"/>
      <c r="FP21" s="1291"/>
      <c r="FQ21" s="1291"/>
      <c r="FR21" s="1291"/>
      <c r="FS21" s="1291"/>
      <c r="FT21" s="1291"/>
      <c r="FU21" s="1291"/>
      <c r="FV21" s="1291"/>
      <c r="FW21" s="1291"/>
      <c r="FX21" s="1291"/>
      <c r="FY21" s="1291"/>
      <c r="FZ21" s="1291"/>
      <c r="GA21" s="1291"/>
      <c r="GB21" s="1291"/>
      <c r="GC21" s="1291"/>
      <c r="GD21" s="1291"/>
      <c r="GE21" s="1291"/>
      <c r="GF21" s="1291"/>
      <c r="GG21" s="1291"/>
      <c r="GH21" s="1291"/>
      <c r="GI21" s="1291"/>
      <c r="GJ21" s="1291"/>
      <c r="GK21" s="1291"/>
      <c r="GL21" s="1291"/>
      <c r="GM21" s="1291"/>
      <c r="GN21" s="1291"/>
      <c r="GO21" s="1291"/>
      <c r="GP21" s="1291"/>
      <c r="GQ21" s="1291"/>
      <c r="GR21" s="1291"/>
      <c r="GS21" s="1291"/>
      <c r="GT21" s="1291"/>
      <c r="GU21" s="1291"/>
      <c r="GV21" s="1291"/>
      <c r="GW21" s="1291"/>
      <c r="GX21" s="1291"/>
      <c r="GY21" s="1291"/>
      <c r="GZ21" s="1291"/>
      <c r="HA21" s="1291"/>
      <c r="HB21" s="1291"/>
      <c r="HC21" s="1291"/>
      <c r="HD21" s="1291"/>
      <c r="HE21" s="1291"/>
      <c r="HF21" s="1291"/>
      <c r="HG21" s="1291"/>
      <c r="HH21" s="1291"/>
      <c r="HI21" s="1291"/>
      <c r="HJ21" s="1291"/>
      <c r="HK21" s="1291"/>
      <c r="HL21" s="1291"/>
      <c r="HM21" s="1291"/>
      <c r="HN21" s="1291"/>
      <c r="HO21" s="1291"/>
      <c r="HP21" s="1291"/>
    </row>
    <row r="22" spans="1:224" x14ac:dyDescent="0.3">
      <c r="A22" s="1394" t="s">
        <v>564</v>
      </c>
      <c r="B22" s="1334"/>
      <c r="C22" s="1334"/>
      <c r="D22" s="1334"/>
      <c r="E22" s="1334"/>
      <c r="F22" s="1334"/>
      <c r="G22" s="1334"/>
      <c r="H22" s="1334"/>
      <c r="I22" s="1334"/>
      <c r="J22" s="1335"/>
      <c r="K22" s="1336"/>
      <c r="L22" s="1335"/>
      <c r="M22" s="1339"/>
      <c r="N22" s="1338"/>
      <c r="O22" s="1339"/>
      <c r="P22" s="1337"/>
      <c r="Q22" s="1337">
        <v>100000</v>
      </c>
      <c r="R22" s="1340">
        <f>SUM(Q22)</f>
        <v>100000</v>
      </c>
      <c r="S22" s="1341"/>
      <c r="T22" s="1431"/>
      <c r="U22" s="1337"/>
      <c r="V22" s="1342"/>
      <c r="W22" s="1339"/>
      <c r="X22" s="1337"/>
      <c r="Y22" s="1337"/>
      <c r="Z22" s="1338"/>
      <c r="AA22" s="1341"/>
      <c r="AB22" s="1337"/>
      <c r="AC22" s="1337"/>
      <c r="AD22" s="1342"/>
      <c r="AE22" s="1339"/>
      <c r="AF22" s="1337"/>
      <c r="AG22" s="1337"/>
      <c r="AH22" s="1338"/>
      <c r="AI22" s="1341"/>
      <c r="AJ22" s="1337"/>
      <c r="AK22" s="1337"/>
      <c r="AL22" s="1338"/>
      <c r="AM22" s="1386" t="s">
        <v>564</v>
      </c>
      <c r="AN22" s="1339"/>
      <c r="AO22" s="1337"/>
      <c r="AP22" s="1337"/>
      <c r="AQ22" s="1340"/>
      <c r="AR22" s="1339"/>
      <c r="AS22" s="1337"/>
      <c r="AT22" s="1337"/>
      <c r="AU22" s="1340"/>
      <c r="AV22" s="1341"/>
      <c r="AW22" s="1337"/>
      <c r="AX22" s="1337"/>
      <c r="AY22" s="1342"/>
      <c r="AZ22" s="1339"/>
      <c r="BA22" s="1337"/>
      <c r="BB22" s="1337"/>
      <c r="BC22" s="1340"/>
      <c r="BD22" s="1417">
        <f t="shared" si="3"/>
        <v>100000</v>
      </c>
      <c r="BE22" s="1291"/>
      <c r="BF22" s="1291"/>
      <c r="BG22" s="1291"/>
      <c r="BH22" s="1291"/>
      <c r="BI22" s="1291"/>
      <c r="BJ22" s="1291"/>
      <c r="BK22" s="1291"/>
      <c r="BL22" s="1291"/>
      <c r="BM22" s="1291"/>
      <c r="BN22" s="1291"/>
      <c r="BO22" s="1291"/>
      <c r="BP22" s="1291"/>
      <c r="BQ22" s="1291"/>
      <c r="BR22" s="1291"/>
      <c r="BS22" s="1291"/>
      <c r="BT22" s="1291"/>
      <c r="BU22" s="1291"/>
      <c r="BV22" s="1291"/>
      <c r="BW22" s="1291"/>
      <c r="BX22" s="1291"/>
      <c r="BY22" s="1291"/>
      <c r="BZ22" s="1291"/>
      <c r="CA22" s="1291"/>
      <c r="CB22" s="1291"/>
      <c r="CC22" s="1291"/>
      <c r="CD22" s="1291"/>
      <c r="CE22" s="1291"/>
      <c r="CF22" s="1291"/>
      <c r="CG22" s="1291"/>
      <c r="CH22" s="1291"/>
      <c r="CI22" s="1291"/>
      <c r="CJ22" s="1291"/>
      <c r="CK22" s="1291"/>
      <c r="CL22" s="1291"/>
      <c r="CM22" s="1291"/>
      <c r="CN22" s="1291"/>
      <c r="CO22" s="1291"/>
      <c r="CP22" s="1291"/>
      <c r="CQ22" s="1291"/>
      <c r="CR22" s="1291"/>
      <c r="CS22" s="1291"/>
      <c r="CT22" s="1291"/>
      <c r="CU22" s="1291"/>
      <c r="CV22" s="1291"/>
      <c r="CW22" s="1291"/>
      <c r="CX22" s="1291"/>
      <c r="CY22" s="1291"/>
      <c r="CZ22" s="1291"/>
      <c r="DA22" s="1291"/>
      <c r="DB22" s="1291"/>
      <c r="DC22" s="1291"/>
      <c r="DD22" s="1291"/>
      <c r="DE22" s="1291"/>
      <c r="DF22" s="1291"/>
      <c r="DG22" s="1291"/>
      <c r="DH22" s="1291"/>
      <c r="DI22" s="1291"/>
      <c r="DJ22" s="1291"/>
      <c r="DK22" s="1291"/>
      <c r="DL22" s="1291"/>
      <c r="DM22" s="1291"/>
      <c r="DN22" s="1291"/>
      <c r="DO22" s="1291"/>
      <c r="DP22" s="1291"/>
      <c r="DQ22" s="1291"/>
      <c r="DR22" s="1291"/>
      <c r="DS22" s="1291"/>
      <c r="DT22" s="1291"/>
      <c r="DU22" s="1291"/>
      <c r="DV22" s="1291"/>
      <c r="DW22" s="1291"/>
      <c r="DX22" s="1291"/>
      <c r="DY22" s="1291"/>
      <c r="DZ22" s="1291"/>
      <c r="EA22" s="1291"/>
      <c r="EB22" s="1291"/>
      <c r="EC22" s="1291"/>
      <c r="ED22" s="1291"/>
      <c r="EE22" s="1291"/>
      <c r="EF22" s="1291"/>
      <c r="EG22" s="1291"/>
      <c r="EH22" s="1291"/>
      <c r="EI22" s="1291"/>
      <c r="EJ22" s="1291"/>
      <c r="EK22" s="1291"/>
      <c r="EL22" s="1291"/>
      <c r="EM22" s="1291"/>
      <c r="EN22" s="1291"/>
      <c r="EO22" s="1291"/>
      <c r="EP22" s="1291"/>
      <c r="EQ22" s="1291"/>
      <c r="ER22" s="1291"/>
      <c r="ES22" s="1291"/>
      <c r="ET22" s="1291"/>
      <c r="EU22" s="1291"/>
      <c r="EV22" s="1291"/>
      <c r="EW22" s="1291"/>
      <c r="EX22" s="1291"/>
      <c r="EY22" s="1291"/>
      <c r="EZ22" s="1291"/>
      <c r="FA22" s="1291"/>
      <c r="FB22" s="1291"/>
      <c r="FC22" s="1291"/>
      <c r="FD22" s="1291"/>
      <c r="FE22" s="1291"/>
      <c r="FF22" s="1291"/>
      <c r="FG22" s="1291"/>
      <c r="FH22" s="1291"/>
      <c r="FI22" s="1291"/>
      <c r="FJ22" s="1291"/>
      <c r="FK22" s="1291"/>
      <c r="FL22" s="1291"/>
      <c r="FM22" s="1291"/>
      <c r="FN22" s="1291"/>
      <c r="FO22" s="1291"/>
      <c r="FP22" s="1291"/>
      <c r="FQ22" s="1291"/>
      <c r="FR22" s="1291"/>
      <c r="FS22" s="1291"/>
      <c r="FT22" s="1291"/>
      <c r="FU22" s="1291"/>
      <c r="FV22" s="1291"/>
      <c r="FW22" s="1291"/>
      <c r="FX22" s="1291"/>
      <c r="FY22" s="1291"/>
      <c r="FZ22" s="1291"/>
      <c r="GA22" s="1291"/>
      <c r="GB22" s="1291"/>
      <c r="GC22" s="1291"/>
      <c r="GD22" s="1291"/>
      <c r="GE22" s="1291"/>
      <c r="GF22" s="1291"/>
      <c r="GG22" s="1291"/>
      <c r="GH22" s="1291"/>
      <c r="GI22" s="1291"/>
      <c r="GJ22" s="1291"/>
      <c r="GK22" s="1291"/>
      <c r="GL22" s="1291"/>
      <c r="GM22" s="1291"/>
      <c r="GN22" s="1291"/>
      <c r="GO22" s="1291"/>
      <c r="GP22" s="1291"/>
      <c r="GQ22" s="1291"/>
      <c r="GR22" s="1291"/>
      <c r="GS22" s="1291"/>
      <c r="GT22" s="1291"/>
      <c r="GU22" s="1291"/>
      <c r="GV22" s="1291"/>
      <c r="GW22" s="1291"/>
      <c r="GX22" s="1291"/>
      <c r="GY22" s="1291"/>
      <c r="GZ22" s="1291"/>
      <c r="HA22" s="1291"/>
      <c r="HB22" s="1291"/>
      <c r="HC22" s="1291"/>
      <c r="HD22" s="1291"/>
      <c r="HE22" s="1291"/>
      <c r="HF22" s="1291"/>
      <c r="HG22" s="1291"/>
      <c r="HH22" s="1291"/>
      <c r="HI22" s="1291"/>
      <c r="HJ22" s="1291"/>
      <c r="HK22" s="1291"/>
      <c r="HL22" s="1291"/>
      <c r="HM22" s="1291"/>
      <c r="HN22" s="1291"/>
      <c r="HO22" s="1291"/>
      <c r="HP22" s="1291"/>
    </row>
    <row r="23" spans="1:224" x14ac:dyDescent="0.3">
      <c r="A23" s="1393" t="s">
        <v>565</v>
      </c>
      <c r="B23" s="1320"/>
      <c r="C23" s="1320"/>
      <c r="D23" s="1320"/>
      <c r="E23" s="1320"/>
      <c r="F23" s="1320"/>
      <c r="G23" s="1320"/>
      <c r="H23" s="1320"/>
      <c r="I23" s="1320"/>
      <c r="J23" s="1335"/>
      <c r="K23" s="1336"/>
      <c r="L23" s="1335"/>
      <c r="M23" s="1339"/>
      <c r="N23" s="1338"/>
      <c r="O23" s="1339"/>
      <c r="P23" s="1337"/>
      <c r="Q23" s="1337"/>
      <c r="R23" s="1340"/>
      <c r="S23" s="1341"/>
      <c r="T23" s="1431"/>
      <c r="U23" s="1337"/>
      <c r="V23" s="1342"/>
      <c r="W23" s="1339"/>
      <c r="X23" s="1337"/>
      <c r="Y23" s="1337"/>
      <c r="Z23" s="1338"/>
      <c r="AA23" s="1341"/>
      <c r="AB23" s="1337"/>
      <c r="AC23" s="1337"/>
      <c r="AD23" s="1342"/>
      <c r="AE23" s="1339"/>
      <c r="AF23" s="1337"/>
      <c r="AG23" s="1337"/>
      <c r="AH23" s="1338"/>
      <c r="AI23" s="1341"/>
      <c r="AJ23" s="1337"/>
      <c r="AK23" s="1337"/>
      <c r="AL23" s="1338"/>
      <c r="AM23" s="1385" t="s">
        <v>565</v>
      </c>
      <c r="AN23" s="1339"/>
      <c r="AO23" s="1337"/>
      <c r="AP23" s="1337"/>
      <c r="AQ23" s="1340"/>
      <c r="AR23" s="1339"/>
      <c r="AS23" s="1337"/>
      <c r="AT23" s="1337"/>
      <c r="AU23" s="1340"/>
      <c r="AV23" s="1341"/>
      <c r="AW23" s="1337"/>
      <c r="AX23" s="1337"/>
      <c r="AY23" s="1342"/>
      <c r="AZ23" s="1339"/>
      <c r="BA23" s="1337"/>
      <c r="BB23" s="1337"/>
      <c r="BC23" s="1340"/>
      <c r="BD23" s="1417">
        <f t="shared" si="3"/>
        <v>0</v>
      </c>
      <c r="BE23" s="1291"/>
      <c r="BF23" s="1291"/>
      <c r="BG23" s="1291"/>
      <c r="BH23" s="1291"/>
      <c r="BI23" s="1291"/>
      <c r="BJ23" s="1291"/>
      <c r="BK23" s="1291"/>
      <c r="BL23" s="1291"/>
      <c r="BM23" s="1291"/>
      <c r="BN23" s="1291"/>
      <c r="BO23" s="1291"/>
      <c r="BP23" s="1291"/>
      <c r="BQ23" s="1291"/>
      <c r="BR23" s="1291"/>
      <c r="BS23" s="1291"/>
      <c r="BT23" s="1291"/>
      <c r="BU23" s="1291"/>
      <c r="BV23" s="1291"/>
      <c r="BW23" s="1291"/>
      <c r="BX23" s="1291"/>
      <c r="BY23" s="1291"/>
      <c r="BZ23" s="1291"/>
      <c r="CA23" s="1291"/>
      <c r="CB23" s="1291"/>
      <c r="CC23" s="1291"/>
      <c r="CD23" s="1291"/>
      <c r="CE23" s="1291"/>
      <c r="CF23" s="1291"/>
      <c r="CG23" s="1291"/>
      <c r="CH23" s="1291"/>
      <c r="CI23" s="1291"/>
      <c r="CJ23" s="1291"/>
      <c r="CK23" s="1291"/>
      <c r="CL23" s="1291"/>
      <c r="CM23" s="1291"/>
      <c r="CN23" s="1291"/>
      <c r="CO23" s="1291"/>
      <c r="CP23" s="1291"/>
      <c r="CQ23" s="1291"/>
      <c r="CR23" s="1291"/>
      <c r="CS23" s="1291"/>
      <c r="CT23" s="1291"/>
      <c r="CU23" s="1291"/>
      <c r="CV23" s="1291"/>
      <c r="CW23" s="1291"/>
      <c r="CX23" s="1291"/>
      <c r="CY23" s="1291"/>
      <c r="CZ23" s="1291"/>
      <c r="DA23" s="1291"/>
      <c r="DB23" s="1291"/>
      <c r="DC23" s="1291"/>
      <c r="DD23" s="1291"/>
      <c r="DE23" s="1291"/>
      <c r="DF23" s="1291"/>
      <c r="DG23" s="1291"/>
      <c r="DH23" s="1291"/>
      <c r="DI23" s="1291"/>
      <c r="DJ23" s="1291"/>
      <c r="DK23" s="1291"/>
      <c r="DL23" s="1291"/>
      <c r="DM23" s="1291"/>
      <c r="DN23" s="1291"/>
      <c r="DO23" s="1291"/>
      <c r="DP23" s="1291"/>
      <c r="DQ23" s="1291"/>
      <c r="DR23" s="1291"/>
      <c r="DS23" s="1291"/>
      <c r="DT23" s="1291"/>
      <c r="DU23" s="1291"/>
      <c r="DV23" s="1291"/>
      <c r="DW23" s="1291"/>
      <c r="DX23" s="1291"/>
      <c r="DY23" s="1291"/>
      <c r="DZ23" s="1291"/>
      <c r="EA23" s="1291"/>
      <c r="EB23" s="1291"/>
      <c r="EC23" s="1291"/>
      <c r="ED23" s="1291"/>
      <c r="EE23" s="1291"/>
      <c r="EF23" s="1291"/>
      <c r="EG23" s="1291"/>
      <c r="EH23" s="1291"/>
      <c r="EI23" s="1291"/>
      <c r="EJ23" s="1291"/>
      <c r="EK23" s="1291"/>
      <c r="EL23" s="1291"/>
      <c r="EM23" s="1291"/>
      <c r="EN23" s="1291"/>
      <c r="EO23" s="1291"/>
      <c r="EP23" s="1291"/>
      <c r="EQ23" s="1291"/>
      <c r="ER23" s="1291"/>
      <c r="ES23" s="1291"/>
      <c r="ET23" s="1291"/>
      <c r="EU23" s="1291"/>
      <c r="EV23" s="1291"/>
      <c r="EW23" s="1291"/>
      <c r="EX23" s="1291"/>
      <c r="EY23" s="1291"/>
      <c r="EZ23" s="1291"/>
      <c r="FA23" s="1291"/>
      <c r="FB23" s="1291"/>
      <c r="FC23" s="1291"/>
      <c r="FD23" s="1291"/>
      <c r="FE23" s="1291"/>
      <c r="FF23" s="1291"/>
      <c r="FG23" s="1291"/>
      <c r="FH23" s="1291"/>
      <c r="FI23" s="1291"/>
      <c r="FJ23" s="1291"/>
      <c r="FK23" s="1291"/>
      <c r="FL23" s="1291"/>
      <c r="FM23" s="1291"/>
      <c r="FN23" s="1291"/>
      <c r="FO23" s="1291"/>
      <c r="FP23" s="1291"/>
      <c r="FQ23" s="1291"/>
      <c r="FR23" s="1291"/>
      <c r="FS23" s="1291"/>
      <c r="FT23" s="1291"/>
      <c r="FU23" s="1291"/>
      <c r="FV23" s="1291"/>
      <c r="FW23" s="1291"/>
      <c r="FX23" s="1291"/>
      <c r="FY23" s="1291"/>
      <c r="FZ23" s="1291"/>
      <c r="GA23" s="1291"/>
      <c r="GB23" s="1291"/>
      <c r="GC23" s="1291"/>
      <c r="GD23" s="1291"/>
      <c r="GE23" s="1291"/>
      <c r="GF23" s="1291"/>
      <c r="GG23" s="1291"/>
      <c r="GH23" s="1291"/>
      <c r="GI23" s="1291"/>
      <c r="GJ23" s="1291"/>
      <c r="GK23" s="1291"/>
      <c r="GL23" s="1291"/>
      <c r="GM23" s="1291"/>
      <c r="GN23" s="1291"/>
      <c r="GO23" s="1291"/>
      <c r="GP23" s="1291"/>
      <c r="GQ23" s="1291"/>
      <c r="GR23" s="1291"/>
      <c r="GS23" s="1291"/>
      <c r="GT23" s="1291"/>
      <c r="GU23" s="1291"/>
      <c r="GV23" s="1291"/>
      <c r="GW23" s="1291"/>
      <c r="GX23" s="1291"/>
      <c r="GY23" s="1291"/>
      <c r="GZ23" s="1291"/>
      <c r="HA23" s="1291"/>
      <c r="HB23" s="1291"/>
      <c r="HC23" s="1291"/>
      <c r="HD23" s="1291"/>
      <c r="HE23" s="1291"/>
      <c r="HF23" s="1291"/>
      <c r="HG23" s="1291"/>
      <c r="HH23" s="1291"/>
      <c r="HI23" s="1291"/>
      <c r="HJ23" s="1291"/>
      <c r="HK23" s="1291"/>
      <c r="HL23" s="1291"/>
      <c r="HM23" s="1291"/>
      <c r="HN23" s="1291"/>
      <c r="HO23" s="1291"/>
      <c r="HP23" s="1291"/>
    </row>
    <row r="24" spans="1:224" x14ac:dyDescent="0.3">
      <c r="A24" s="1394" t="s">
        <v>566</v>
      </c>
      <c r="B24" s="1334"/>
      <c r="C24" s="1334"/>
      <c r="D24" s="1334"/>
      <c r="E24" s="1334"/>
      <c r="F24" s="1334"/>
      <c r="G24" s="1334"/>
      <c r="H24" s="1334"/>
      <c r="I24" s="1334"/>
      <c r="J24" s="1335"/>
      <c r="K24" s="1336"/>
      <c r="L24" s="1335"/>
      <c r="M24" s="1339"/>
      <c r="N24" s="1338"/>
      <c r="O24" s="1339"/>
      <c r="P24" s="1337"/>
      <c r="Q24" s="1337"/>
      <c r="R24" s="1340"/>
      <c r="S24" s="1341"/>
      <c r="T24" s="1431"/>
      <c r="U24" s="1337"/>
      <c r="V24" s="1342"/>
      <c r="W24" s="1339"/>
      <c r="X24" s="1337"/>
      <c r="Y24" s="1337"/>
      <c r="Z24" s="1338"/>
      <c r="AA24" s="1341"/>
      <c r="AB24" s="1337"/>
      <c r="AC24" s="1337"/>
      <c r="AD24" s="1342"/>
      <c r="AE24" s="1339"/>
      <c r="AF24" s="1337"/>
      <c r="AG24" s="1337"/>
      <c r="AH24" s="1338"/>
      <c r="AI24" s="1341"/>
      <c r="AJ24" s="1337"/>
      <c r="AK24" s="1337"/>
      <c r="AL24" s="1338"/>
      <c r="AM24" s="1386" t="s">
        <v>566</v>
      </c>
      <c r="AN24" s="1339"/>
      <c r="AO24" s="1337"/>
      <c r="AP24" s="1337"/>
      <c r="AQ24" s="1340"/>
      <c r="AR24" s="1339"/>
      <c r="AS24" s="1337"/>
      <c r="AT24" s="1337"/>
      <c r="AU24" s="1340"/>
      <c r="AV24" s="1341"/>
      <c r="AW24" s="1337"/>
      <c r="AX24" s="1337"/>
      <c r="AY24" s="1342"/>
      <c r="AZ24" s="1339"/>
      <c r="BA24" s="1337"/>
      <c r="BB24" s="1337"/>
      <c r="BC24" s="1340"/>
      <c r="BD24" s="1417">
        <f t="shared" si="3"/>
        <v>0</v>
      </c>
      <c r="BE24" s="1291"/>
      <c r="BF24" s="1291"/>
      <c r="BG24" s="1291"/>
      <c r="BH24" s="1291"/>
      <c r="BI24" s="1291"/>
      <c r="BJ24" s="1291"/>
      <c r="BK24" s="1291"/>
      <c r="BL24" s="1291"/>
      <c r="BM24" s="1291"/>
      <c r="BN24" s="1291"/>
      <c r="BO24" s="1291"/>
      <c r="BP24" s="1291"/>
      <c r="BQ24" s="1291"/>
      <c r="BR24" s="1291"/>
      <c r="BS24" s="1291"/>
      <c r="BT24" s="1291"/>
      <c r="BU24" s="1291"/>
      <c r="BV24" s="1291"/>
      <c r="BW24" s="1291"/>
      <c r="BX24" s="1291"/>
      <c r="BY24" s="1291"/>
      <c r="BZ24" s="1291"/>
      <c r="CA24" s="1291"/>
      <c r="CB24" s="1291"/>
      <c r="CC24" s="1291"/>
      <c r="CD24" s="1291"/>
      <c r="CE24" s="1291"/>
      <c r="CF24" s="1291"/>
      <c r="CG24" s="1291"/>
      <c r="CH24" s="1291"/>
      <c r="CI24" s="1291"/>
      <c r="CJ24" s="1291"/>
      <c r="CK24" s="1291"/>
      <c r="CL24" s="1291"/>
      <c r="CM24" s="1291"/>
      <c r="CN24" s="1291"/>
      <c r="CO24" s="1291"/>
      <c r="CP24" s="1291"/>
      <c r="CQ24" s="1291"/>
      <c r="CR24" s="1291"/>
      <c r="CS24" s="1291"/>
      <c r="CT24" s="1291"/>
      <c r="CU24" s="1291"/>
      <c r="CV24" s="1291"/>
      <c r="CW24" s="1291"/>
      <c r="CX24" s="1291"/>
      <c r="CY24" s="1291"/>
      <c r="CZ24" s="1291"/>
      <c r="DA24" s="1291"/>
      <c r="DB24" s="1291"/>
      <c r="DC24" s="1291"/>
      <c r="DD24" s="1291"/>
      <c r="DE24" s="1291"/>
      <c r="DF24" s="1291"/>
      <c r="DG24" s="1291"/>
      <c r="DH24" s="1291"/>
      <c r="DI24" s="1291"/>
      <c r="DJ24" s="1291"/>
      <c r="DK24" s="1291"/>
      <c r="DL24" s="1291"/>
      <c r="DM24" s="1291"/>
      <c r="DN24" s="1291"/>
      <c r="DO24" s="1291"/>
      <c r="DP24" s="1291"/>
      <c r="DQ24" s="1291"/>
      <c r="DR24" s="1291"/>
      <c r="DS24" s="1291"/>
      <c r="DT24" s="1291"/>
      <c r="DU24" s="1291"/>
      <c r="DV24" s="1291"/>
      <c r="DW24" s="1291"/>
      <c r="DX24" s="1291"/>
      <c r="DY24" s="1291"/>
      <c r="DZ24" s="1291"/>
      <c r="EA24" s="1291"/>
      <c r="EB24" s="1291"/>
      <c r="EC24" s="1291"/>
      <c r="ED24" s="1291"/>
      <c r="EE24" s="1291"/>
      <c r="EF24" s="1291"/>
      <c r="EG24" s="1291"/>
      <c r="EH24" s="1291"/>
      <c r="EI24" s="1291"/>
      <c r="EJ24" s="1291"/>
      <c r="EK24" s="1291"/>
      <c r="EL24" s="1291"/>
      <c r="EM24" s="1291"/>
      <c r="EN24" s="1291"/>
      <c r="EO24" s="1291"/>
      <c r="EP24" s="1291"/>
      <c r="EQ24" s="1291"/>
      <c r="ER24" s="1291"/>
      <c r="ES24" s="1291"/>
      <c r="ET24" s="1291"/>
      <c r="EU24" s="1291"/>
      <c r="EV24" s="1291"/>
      <c r="EW24" s="1291"/>
      <c r="EX24" s="1291"/>
      <c r="EY24" s="1291"/>
      <c r="EZ24" s="1291"/>
      <c r="FA24" s="1291"/>
      <c r="FB24" s="1291"/>
      <c r="FC24" s="1291"/>
      <c r="FD24" s="1291"/>
      <c r="FE24" s="1291"/>
      <c r="FF24" s="1291"/>
      <c r="FG24" s="1291"/>
      <c r="FH24" s="1291"/>
      <c r="FI24" s="1291"/>
      <c r="FJ24" s="1291"/>
      <c r="FK24" s="1291"/>
      <c r="FL24" s="1291"/>
      <c r="FM24" s="1291"/>
      <c r="FN24" s="1291"/>
      <c r="FO24" s="1291"/>
      <c r="FP24" s="1291"/>
      <c r="FQ24" s="1291"/>
      <c r="FR24" s="1291"/>
      <c r="FS24" s="1291"/>
      <c r="FT24" s="1291"/>
      <c r="FU24" s="1291"/>
      <c r="FV24" s="1291"/>
      <c r="FW24" s="1291"/>
      <c r="FX24" s="1291"/>
      <c r="FY24" s="1291"/>
      <c r="FZ24" s="1291"/>
      <c r="GA24" s="1291"/>
      <c r="GB24" s="1291"/>
      <c r="GC24" s="1291"/>
      <c r="GD24" s="1291"/>
      <c r="GE24" s="1291"/>
      <c r="GF24" s="1291"/>
      <c r="GG24" s="1291"/>
      <c r="GH24" s="1291"/>
      <c r="GI24" s="1291"/>
      <c r="GJ24" s="1291"/>
      <c r="GK24" s="1291"/>
      <c r="GL24" s="1291"/>
      <c r="GM24" s="1291"/>
      <c r="GN24" s="1291"/>
      <c r="GO24" s="1291"/>
      <c r="GP24" s="1291"/>
      <c r="GQ24" s="1291"/>
      <c r="GR24" s="1291"/>
      <c r="GS24" s="1291"/>
      <c r="GT24" s="1291"/>
      <c r="GU24" s="1291"/>
      <c r="GV24" s="1291"/>
      <c r="GW24" s="1291"/>
      <c r="GX24" s="1291"/>
      <c r="GY24" s="1291"/>
      <c r="GZ24" s="1291"/>
      <c r="HA24" s="1291"/>
      <c r="HB24" s="1291"/>
      <c r="HC24" s="1291"/>
      <c r="HD24" s="1291"/>
      <c r="HE24" s="1291"/>
      <c r="HF24" s="1291"/>
      <c r="HG24" s="1291"/>
      <c r="HH24" s="1291"/>
      <c r="HI24" s="1291"/>
      <c r="HJ24" s="1291"/>
      <c r="HK24" s="1291"/>
      <c r="HL24" s="1291"/>
      <c r="HM24" s="1291"/>
      <c r="HN24" s="1291"/>
      <c r="HO24" s="1291"/>
      <c r="HP24" s="1291"/>
    </row>
    <row r="25" spans="1:224" x14ac:dyDescent="0.3">
      <c r="A25" s="1394" t="s">
        <v>567</v>
      </c>
      <c r="B25" s="1354"/>
      <c r="C25" s="1355"/>
      <c r="D25" s="1355"/>
      <c r="E25" s="1354"/>
      <c r="F25" s="1355"/>
      <c r="G25" s="1355"/>
      <c r="H25" s="1354"/>
      <c r="I25" s="1354"/>
      <c r="J25" s="1356"/>
      <c r="K25" s="1357"/>
      <c r="L25" s="1378"/>
      <c r="M25" s="1380">
        <v>80000</v>
      </c>
      <c r="N25" s="1359">
        <f>SUM(M25)</f>
        <v>80000</v>
      </c>
      <c r="O25" s="1360"/>
      <c r="P25" s="1358"/>
      <c r="Q25" s="1358">
        <v>200000</v>
      </c>
      <c r="R25" s="1361">
        <f>SUM(Q25)</f>
        <v>200000</v>
      </c>
      <c r="S25" s="1362"/>
      <c r="T25" s="1432">
        <v>23000</v>
      </c>
      <c r="U25" s="1358"/>
      <c r="V25" s="1363">
        <f>SUM(T25:U25)</f>
        <v>23000</v>
      </c>
      <c r="W25" s="1360"/>
      <c r="X25" s="1358">
        <v>19500</v>
      </c>
      <c r="Y25" s="1358"/>
      <c r="Z25" s="1359">
        <f>SUM(W25:Y25)</f>
        <v>19500</v>
      </c>
      <c r="AA25" s="1332">
        <v>30000</v>
      </c>
      <c r="AB25" s="1352">
        <v>24000</v>
      </c>
      <c r="AC25" s="1332">
        <v>24000</v>
      </c>
      <c r="AD25" s="1363">
        <f>SUM(AA25:AC25)</f>
        <v>78000</v>
      </c>
      <c r="AE25" s="1360"/>
      <c r="AF25" s="1358"/>
      <c r="AG25" s="1358">
        <v>97000</v>
      </c>
      <c r="AH25" s="1359">
        <f>SUM(AE25:AG25)</f>
        <v>97000</v>
      </c>
      <c r="AI25" s="1362"/>
      <c r="AJ25" s="1358">
        <f>3900*4</f>
        <v>15600</v>
      </c>
      <c r="AK25" s="1358"/>
      <c r="AL25" s="1359">
        <f>SUM(AI25:AK25)</f>
        <v>15600</v>
      </c>
      <c r="AM25" s="1386" t="s">
        <v>567</v>
      </c>
      <c r="AN25" s="1360"/>
      <c r="AO25" s="1358"/>
      <c r="AP25" s="1358"/>
      <c r="AQ25" s="1361"/>
      <c r="AR25" s="1360"/>
      <c r="AS25" s="1358"/>
      <c r="AT25" s="1358"/>
      <c r="AU25" s="1361"/>
      <c r="AV25" s="1364"/>
      <c r="AW25" s="1332"/>
      <c r="AX25" s="1332">
        <v>5000</v>
      </c>
      <c r="AY25" s="1428">
        <f>SUM(AV25:AX25)</f>
        <v>5000</v>
      </c>
      <c r="AZ25" s="1360">
        <v>75000</v>
      </c>
      <c r="BA25" s="1358">
        <v>30000</v>
      </c>
      <c r="BB25" s="1358"/>
      <c r="BC25" s="1361">
        <f>SUM(AZ25:BB25)</f>
        <v>105000</v>
      </c>
      <c r="BD25" s="1417">
        <f t="shared" si="3"/>
        <v>623100</v>
      </c>
      <c r="BE25" s="1291"/>
      <c r="BF25" s="1291"/>
      <c r="BG25" s="1291"/>
      <c r="BH25" s="1291"/>
      <c r="BI25" s="1291"/>
      <c r="BJ25" s="1291"/>
      <c r="BK25" s="1291"/>
      <c r="BL25" s="1291"/>
      <c r="BM25" s="1291"/>
      <c r="BN25" s="1291"/>
      <c r="BO25" s="1291"/>
      <c r="BP25" s="1291"/>
      <c r="BQ25" s="1291"/>
      <c r="BR25" s="1291"/>
      <c r="BS25" s="1291"/>
      <c r="BT25" s="1291"/>
      <c r="BU25" s="1291"/>
      <c r="BV25" s="1291"/>
      <c r="BW25" s="1291"/>
      <c r="BX25" s="1291"/>
      <c r="BY25" s="1291"/>
      <c r="BZ25" s="1291"/>
      <c r="CA25" s="1291"/>
      <c r="CB25" s="1291"/>
      <c r="CC25" s="1291"/>
      <c r="CD25" s="1291"/>
      <c r="CE25" s="1291"/>
      <c r="CF25" s="1291"/>
      <c r="CG25" s="1291"/>
      <c r="CH25" s="1291"/>
      <c r="CI25" s="1291"/>
      <c r="CJ25" s="1291"/>
      <c r="CK25" s="1291"/>
      <c r="CL25" s="1291"/>
      <c r="CM25" s="1291"/>
      <c r="CN25" s="1291"/>
      <c r="CO25" s="1291"/>
      <c r="CP25" s="1291"/>
      <c r="CQ25" s="1291"/>
      <c r="CR25" s="1291"/>
      <c r="CS25" s="1291"/>
      <c r="CT25" s="1291"/>
      <c r="CU25" s="1291"/>
      <c r="CV25" s="1291"/>
      <c r="CW25" s="1291"/>
      <c r="CX25" s="1291"/>
      <c r="CY25" s="1291"/>
      <c r="CZ25" s="1291"/>
      <c r="DA25" s="1291"/>
      <c r="DB25" s="1291"/>
      <c r="DC25" s="1291"/>
      <c r="DD25" s="1291"/>
      <c r="DE25" s="1291"/>
      <c r="DF25" s="1291"/>
      <c r="DG25" s="1291"/>
      <c r="DH25" s="1291"/>
      <c r="DI25" s="1291"/>
      <c r="DJ25" s="1291"/>
      <c r="DK25" s="1291"/>
      <c r="DL25" s="1291"/>
      <c r="DM25" s="1291"/>
      <c r="DN25" s="1291"/>
      <c r="DO25" s="1291"/>
      <c r="DP25" s="1291"/>
      <c r="DQ25" s="1291"/>
      <c r="DR25" s="1291"/>
      <c r="DS25" s="1291"/>
      <c r="DT25" s="1291"/>
      <c r="DU25" s="1291"/>
      <c r="DV25" s="1291"/>
      <c r="DW25" s="1291"/>
      <c r="DX25" s="1291"/>
      <c r="DY25" s="1291"/>
      <c r="DZ25" s="1291"/>
      <c r="EA25" s="1291"/>
      <c r="EB25" s="1291"/>
      <c r="EC25" s="1291"/>
      <c r="ED25" s="1291"/>
      <c r="EE25" s="1291"/>
      <c r="EF25" s="1291"/>
      <c r="EG25" s="1291"/>
      <c r="EH25" s="1291"/>
      <c r="EI25" s="1291"/>
      <c r="EJ25" s="1291"/>
      <c r="EK25" s="1291"/>
      <c r="EL25" s="1291"/>
      <c r="EM25" s="1291"/>
      <c r="EN25" s="1291"/>
      <c r="EO25" s="1291"/>
      <c r="EP25" s="1291"/>
      <c r="EQ25" s="1291"/>
      <c r="ER25" s="1291"/>
      <c r="ES25" s="1291"/>
      <c r="ET25" s="1291"/>
      <c r="EU25" s="1291"/>
      <c r="EV25" s="1291"/>
      <c r="EW25" s="1291"/>
      <c r="EX25" s="1291"/>
      <c r="EY25" s="1291"/>
      <c r="EZ25" s="1291"/>
      <c r="FA25" s="1291"/>
      <c r="FB25" s="1291"/>
      <c r="FC25" s="1291"/>
      <c r="FD25" s="1291"/>
      <c r="FE25" s="1291"/>
      <c r="FF25" s="1291"/>
      <c r="FG25" s="1291"/>
      <c r="FH25" s="1291"/>
      <c r="FI25" s="1291"/>
      <c r="FJ25" s="1291"/>
      <c r="FK25" s="1291"/>
      <c r="FL25" s="1291"/>
      <c r="FM25" s="1291"/>
      <c r="FN25" s="1291"/>
      <c r="FO25" s="1291"/>
      <c r="FP25" s="1291"/>
      <c r="FQ25" s="1291"/>
      <c r="FR25" s="1291"/>
      <c r="FS25" s="1291"/>
      <c r="FT25" s="1291"/>
      <c r="FU25" s="1291"/>
      <c r="FV25" s="1291"/>
      <c r="FW25" s="1291"/>
      <c r="FX25" s="1291"/>
      <c r="FY25" s="1291"/>
      <c r="FZ25" s="1291"/>
      <c r="GA25" s="1291"/>
      <c r="GB25" s="1291"/>
      <c r="GC25" s="1291"/>
      <c r="GD25" s="1291"/>
      <c r="GE25" s="1291"/>
      <c r="GF25" s="1291"/>
      <c r="GG25" s="1291"/>
      <c r="GH25" s="1291"/>
      <c r="GI25" s="1291"/>
      <c r="GJ25" s="1291"/>
      <c r="GK25" s="1291"/>
      <c r="GL25" s="1291"/>
      <c r="GM25" s="1291"/>
      <c r="GN25" s="1291"/>
      <c r="GO25" s="1291"/>
      <c r="GP25" s="1291"/>
      <c r="GQ25" s="1291"/>
      <c r="GR25" s="1291"/>
      <c r="GS25" s="1291"/>
      <c r="GT25" s="1291"/>
      <c r="GU25" s="1291"/>
      <c r="GV25" s="1291"/>
      <c r="GW25" s="1291"/>
      <c r="GX25" s="1291"/>
      <c r="GY25" s="1291"/>
      <c r="GZ25" s="1291"/>
      <c r="HA25" s="1291"/>
      <c r="HB25" s="1291"/>
      <c r="HC25" s="1291"/>
      <c r="HD25" s="1291"/>
      <c r="HE25" s="1291"/>
      <c r="HF25" s="1291"/>
      <c r="HG25" s="1291"/>
      <c r="HH25" s="1291"/>
      <c r="HI25" s="1291"/>
      <c r="HJ25" s="1291"/>
      <c r="HK25" s="1291"/>
      <c r="HL25" s="1291"/>
      <c r="HM25" s="1291"/>
      <c r="HN25" s="1291"/>
      <c r="HO25" s="1291"/>
      <c r="HP25" s="1291"/>
    </row>
    <row r="26" spans="1:224" x14ac:dyDescent="0.3">
      <c r="A26" s="1396" t="s">
        <v>568</v>
      </c>
      <c r="B26" s="1365">
        <f t="shared" ref="B26:M26" si="6">SUM(B27:B27)</f>
        <v>0</v>
      </c>
      <c r="C26" s="1365">
        <f t="shared" si="6"/>
        <v>0</v>
      </c>
      <c r="D26" s="1365">
        <f t="shared" si="6"/>
        <v>0</v>
      </c>
      <c r="E26" s="1365">
        <f t="shared" si="6"/>
        <v>0</v>
      </c>
      <c r="F26" s="1365">
        <f t="shared" si="6"/>
        <v>0</v>
      </c>
      <c r="G26" s="1365">
        <f t="shared" si="6"/>
        <v>0</v>
      </c>
      <c r="H26" s="1365">
        <f t="shared" si="6"/>
        <v>0</v>
      </c>
      <c r="I26" s="1365">
        <f t="shared" si="6"/>
        <v>0</v>
      </c>
      <c r="J26" s="1366">
        <f t="shared" si="6"/>
        <v>0</v>
      </c>
      <c r="K26" s="1367">
        <f t="shared" si="6"/>
        <v>0</v>
      </c>
      <c r="L26" s="1366">
        <f t="shared" si="6"/>
        <v>0</v>
      </c>
      <c r="M26" s="1370">
        <f t="shared" si="6"/>
        <v>0</v>
      </c>
      <c r="N26" s="1369"/>
      <c r="O26" s="1370">
        <f>SUM(O27:O27)</f>
        <v>0</v>
      </c>
      <c r="P26" s="1368">
        <f>SUM(P27:P27)</f>
        <v>0</v>
      </c>
      <c r="Q26" s="1368">
        <f>SUM(Q27:Q27)</f>
        <v>0</v>
      </c>
      <c r="R26" s="1369"/>
      <c r="S26" s="1371">
        <f>SUM(S27:S27)</f>
        <v>0</v>
      </c>
      <c r="T26" s="1368">
        <f>SUM(T27:T27)</f>
        <v>0</v>
      </c>
      <c r="U26" s="1368">
        <f>SUM(U27:U27)</f>
        <v>0</v>
      </c>
      <c r="V26" s="1372"/>
      <c r="W26" s="1370">
        <f>SUM(W27:W27)</f>
        <v>1500</v>
      </c>
      <c r="X26" s="1368">
        <f>SUM(X27:X27)</f>
        <v>1500</v>
      </c>
      <c r="Y26" s="1368">
        <f>SUM(Y27:Y27)</f>
        <v>1500</v>
      </c>
      <c r="Z26" s="1369">
        <f>SUM(W26:Y26)</f>
        <v>4500</v>
      </c>
      <c r="AA26" s="1371">
        <f>SUM(AA27:AA27)</f>
        <v>0</v>
      </c>
      <c r="AB26" s="1368">
        <f>SUM(AB27:AB27)</f>
        <v>0</v>
      </c>
      <c r="AC26" s="1368">
        <f>SUM(AC27:AC27)</f>
        <v>0</v>
      </c>
      <c r="AD26" s="1372"/>
      <c r="AE26" s="1370">
        <f>SUM(AE27:AE27)</f>
        <v>500</v>
      </c>
      <c r="AF26" s="1368">
        <f>SUM(AF27:AF27)</f>
        <v>500</v>
      </c>
      <c r="AG26" s="1368">
        <f>SUM(AG27:AG27)</f>
        <v>500</v>
      </c>
      <c r="AH26" s="1369">
        <f>SUM(AE26:AG26)</f>
        <v>1500</v>
      </c>
      <c r="AI26" s="1371">
        <f>SUM(AI27:AI27)</f>
        <v>0</v>
      </c>
      <c r="AJ26" s="1368">
        <f>SUM(AJ27:AJ27)</f>
        <v>0</v>
      </c>
      <c r="AK26" s="1368">
        <f>SUM(AK27:AK27)</f>
        <v>0</v>
      </c>
      <c r="AL26" s="1369"/>
      <c r="AM26" s="1388" t="s">
        <v>568</v>
      </c>
      <c r="AN26" s="1370">
        <f>SUM(AN27:AN27)</f>
        <v>1500</v>
      </c>
      <c r="AO26" s="1368">
        <f>SUM(AO27:AO27)</f>
        <v>1500</v>
      </c>
      <c r="AP26" s="1368">
        <f>SUM(AP27:AP27)</f>
        <v>1500</v>
      </c>
      <c r="AQ26" s="1369">
        <f>SUM(AN26:AP26)</f>
        <v>4500</v>
      </c>
      <c r="AR26" s="1370">
        <f>SUM(AR27:AR27)</f>
        <v>500</v>
      </c>
      <c r="AS26" s="1368">
        <f>SUM(AS27:AS27)</f>
        <v>500</v>
      </c>
      <c r="AT26" s="1368">
        <f>SUM(AT27:AT27)</f>
        <v>500</v>
      </c>
      <c r="AU26" s="1369">
        <f>SUM(AR26:AT26)</f>
        <v>1500</v>
      </c>
      <c r="AV26" s="1370">
        <f>SUM(AV27:AV27)</f>
        <v>0</v>
      </c>
      <c r="AW26" s="1368">
        <f>SUM(AW27:AW27)</f>
        <v>0</v>
      </c>
      <c r="AX26" s="1368">
        <f>SUM(AX27:AX27)</f>
        <v>0</v>
      </c>
      <c r="AY26" s="1372"/>
      <c r="AZ26" s="1370">
        <f>SUM(AZ27:AZ27)</f>
        <v>0</v>
      </c>
      <c r="BA26" s="1368">
        <f>SUM(BA27:BA27)</f>
        <v>0</v>
      </c>
      <c r="BB26" s="1368">
        <f>SUM(BB27:BB27)</f>
        <v>0</v>
      </c>
      <c r="BC26" s="1369"/>
      <c r="BD26" s="1419">
        <f>++N26+R26+V26+Z26+AD26+AH26+AL26+AQ26+AU26+AY26+BC26</f>
        <v>12000</v>
      </c>
      <c r="BE26" s="1291"/>
      <c r="BF26" s="1291"/>
      <c r="BG26" s="1291"/>
      <c r="BH26" s="1291"/>
      <c r="BI26" s="1291"/>
      <c r="BJ26" s="1291"/>
      <c r="BK26" s="1291"/>
      <c r="BL26" s="1291"/>
      <c r="BM26" s="1291"/>
      <c r="BN26" s="1291"/>
      <c r="BO26" s="1291"/>
      <c r="BP26" s="1291"/>
      <c r="BQ26" s="1291"/>
      <c r="BR26" s="1291"/>
      <c r="BS26" s="1291"/>
      <c r="BT26" s="1291"/>
      <c r="BU26" s="1291"/>
      <c r="BV26" s="1291"/>
      <c r="BW26" s="1291"/>
      <c r="BX26" s="1291"/>
      <c r="BY26" s="1291"/>
      <c r="BZ26" s="1291"/>
      <c r="CA26" s="1291"/>
      <c r="CB26" s="1291"/>
      <c r="CC26" s="1291"/>
      <c r="CD26" s="1291"/>
      <c r="CE26" s="1291"/>
      <c r="CF26" s="1291"/>
      <c r="CG26" s="1291"/>
      <c r="CH26" s="1291"/>
      <c r="CI26" s="1291"/>
      <c r="CJ26" s="1291"/>
      <c r="CK26" s="1291"/>
      <c r="CL26" s="1291"/>
      <c r="CM26" s="1291"/>
      <c r="CN26" s="1291"/>
      <c r="CO26" s="1291"/>
      <c r="CP26" s="1291"/>
      <c r="CQ26" s="1291"/>
      <c r="CR26" s="1291"/>
      <c r="CS26" s="1291"/>
      <c r="CT26" s="1291"/>
      <c r="CU26" s="1291"/>
      <c r="CV26" s="1291"/>
      <c r="CW26" s="1291"/>
      <c r="CX26" s="1291"/>
      <c r="CY26" s="1291"/>
      <c r="CZ26" s="1291"/>
      <c r="DA26" s="1291"/>
      <c r="DB26" s="1291"/>
      <c r="DC26" s="1291"/>
      <c r="DD26" s="1291"/>
      <c r="DE26" s="1291"/>
      <c r="DF26" s="1291"/>
      <c r="DG26" s="1291"/>
      <c r="DH26" s="1291"/>
      <c r="DI26" s="1291"/>
      <c r="DJ26" s="1291"/>
      <c r="DK26" s="1291"/>
      <c r="DL26" s="1291"/>
      <c r="DM26" s="1291"/>
      <c r="DN26" s="1291"/>
      <c r="DO26" s="1291"/>
      <c r="DP26" s="1291"/>
      <c r="DQ26" s="1291"/>
      <c r="DR26" s="1291"/>
      <c r="DS26" s="1291"/>
      <c r="DT26" s="1291"/>
      <c r="DU26" s="1291"/>
      <c r="DV26" s="1291"/>
      <c r="DW26" s="1291"/>
      <c r="DX26" s="1291"/>
      <c r="DY26" s="1291"/>
      <c r="DZ26" s="1291"/>
      <c r="EA26" s="1291"/>
      <c r="EB26" s="1291"/>
      <c r="EC26" s="1291"/>
      <c r="ED26" s="1291"/>
      <c r="EE26" s="1291"/>
      <c r="EF26" s="1291"/>
      <c r="EG26" s="1291"/>
      <c r="EH26" s="1291"/>
      <c r="EI26" s="1291"/>
      <c r="EJ26" s="1291"/>
      <c r="EK26" s="1291"/>
      <c r="EL26" s="1291"/>
      <c r="EM26" s="1291"/>
      <c r="EN26" s="1291"/>
      <c r="EO26" s="1291"/>
      <c r="EP26" s="1291"/>
      <c r="EQ26" s="1291"/>
      <c r="ER26" s="1291"/>
      <c r="ES26" s="1291"/>
      <c r="ET26" s="1291"/>
      <c r="EU26" s="1291"/>
      <c r="EV26" s="1291"/>
      <c r="EW26" s="1291"/>
      <c r="EX26" s="1291"/>
      <c r="EY26" s="1291"/>
      <c r="EZ26" s="1291"/>
      <c r="FA26" s="1291"/>
      <c r="FB26" s="1291"/>
      <c r="FC26" s="1291"/>
      <c r="FD26" s="1291"/>
      <c r="FE26" s="1291"/>
      <c r="FF26" s="1291"/>
      <c r="FG26" s="1291"/>
      <c r="FH26" s="1291"/>
      <c r="FI26" s="1291"/>
      <c r="FJ26" s="1291"/>
      <c r="FK26" s="1291"/>
      <c r="FL26" s="1291"/>
      <c r="FM26" s="1291"/>
      <c r="FN26" s="1291"/>
      <c r="FO26" s="1291"/>
      <c r="FP26" s="1291"/>
      <c r="FQ26" s="1291"/>
      <c r="FR26" s="1291"/>
      <c r="FS26" s="1291"/>
      <c r="FT26" s="1291"/>
      <c r="FU26" s="1291"/>
      <c r="FV26" s="1291"/>
      <c r="FW26" s="1291"/>
      <c r="FX26" s="1291"/>
      <c r="FY26" s="1291"/>
      <c r="FZ26" s="1291"/>
      <c r="GA26" s="1291"/>
      <c r="GB26" s="1291"/>
      <c r="GC26" s="1291"/>
      <c r="GD26" s="1291"/>
      <c r="GE26" s="1291"/>
      <c r="GF26" s="1291"/>
      <c r="GG26" s="1291"/>
      <c r="GH26" s="1291"/>
      <c r="GI26" s="1291"/>
      <c r="GJ26" s="1291"/>
      <c r="GK26" s="1291"/>
      <c r="GL26" s="1291"/>
      <c r="GM26" s="1291"/>
      <c r="GN26" s="1291"/>
      <c r="GO26" s="1291"/>
      <c r="GP26" s="1291"/>
      <c r="GQ26" s="1291"/>
      <c r="GR26" s="1291"/>
      <c r="GS26" s="1291"/>
      <c r="GT26" s="1291"/>
      <c r="GU26" s="1291"/>
      <c r="GV26" s="1291"/>
      <c r="GW26" s="1291"/>
      <c r="GX26" s="1291"/>
      <c r="GY26" s="1291"/>
      <c r="GZ26" s="1291"/>
      <c r="HA26" s="1291"/>
      <c r="HB26" s="1291"/>
      <c r="HC26" s="1291"/>
      <c r="HD26" s="1291"/>
      <c r="HE26" s="1291"/>
      <c r="HF26" s="1291"/>
      <c r="HG26" s="1291"/>
      <c r="HH26" s="1291"/>
      <c r="HI26" s="1291"/>
      <c r="HJ26" s="1291"/>
      <c r="HK26" s="1291"/>
      <c r="HL26" s="1291"/>
      <c r="HM26" s="1291"/>
      <c r="HN26" s="1291"/>
      <c r="HO26" s="1291"/>
      <c r="HP26" s="1291"/>
    </row>
    <row r="27" spans="1:224" ht="19.5" thickBot="1" x14ac:dyDescent="0.35">
      <c r="A27" s="1397" t="s">
        <v>569</v>
      </c>
      <c r="B27" s="1398"/>
      <c r="C27" s="1399"/>
      <c r="D27" s="1399"/>
      <c r="E27" s="1398"/>
      <c r="F27" s="1399"/>
      <c r="G27" s="1399"/>
      <c r="H27" s="1398"/>
      <c r="I27" s="1398"/>
      <c r="J27" s="1400"/>
      <c r="K27" s="1401">
        <v>0</v>
      </c>
      <c r="L27" s="1402">
        <v>0</v>
      </c>
      <c r="M27" s="1403">
        <v>0</v>
      </c>
      <c r="N27" s="1404"/>
      <c r="O27" s="1405"/>
      <c r="P27" s="1406"/>
      <c r="Q27" s="1406"/>
      <c r="R27" s="1407"/>
      <c r="S27" s="1408"/>
      <c r="T27" s="1406"/>
      <c r="U27" s="1406"/>
      <c r="V27" s="1409"/>
      <c r="W27" s="1405">
        <v>1500</v>
      </c>
      <c r="X27" s="1406">
        <v>1500</v>
      </c>
      <c r="Y27" s="1406">
        <f>1500</f>
        <v>1500</v>
      </c>
      <c r="Z27" s="1404">
        <f>SUM(W27:Y27)</f>
        <v>4500</v>
      </c>
      <c r="AA27" s="1408"/>
      <c r="AB27" s="1406"/>
      <c r="AC27" s="1406"/>
      <c r="AD27" s="1409"/>
      <c r="AE27" s="1405">
        <v>500</v>
      </c>
      <c r="AF27" s="1406">
        <v>500</v>
      </c>
      <c r="AG27" s="1406">
        <v>500</v>
      </c>
      <c r="AH27" s="1404">
        <f>SUM(AE27:AG27)</f>
        <v>1500</v>
      </c>
      <c r="AI27" s="1408"/>
      <c r="AJ27" s="1406"/>
      <c r="AK27" s="1406"/>
      <c r="AL27" s="1404"/>
      <c r="AM27" s="1420" t="s">
        <v>569</v>
      </c>
      <c r="AN27" s="1405">
        <v>1500</v>
      </c>
      <c r="AO27" s="1406">
        <v>1500</v>
      </c>
      <c r="AP27" s="1433">
        <f>1500</f>
        <v>1500</v>
      </c>
      <c r="AQ27" s="1407">
        <f>SUM(AN27:AP27)</f>
        <v>4500</v>
      </c>
      <c r="AR27" s="1405">
        <v>500</v>
      </c>
      <c r="AS27" s="1406">
        <v>500</v>
      </c>
      <c r="AT27" s="1433">
        <f>500</f>
        <v>500</v>
      </c>
      <c r="AU27" s="1407">
        <f>SUM(AR27:AT27)</f>
        <v>1500</v>
      </c>
      <c r="AV27" s="1408"/>
      <c r="AW27" s="1406"/>
      <c r="AX27" s="1406"/>
      <c r="AY27" s="1409"/>
      <c r="AZ27" s="1405"/>
      <c r="BA27" s="1406"/>
      <c r="BB27" s="1406"/>
      <c r="BC27" s="1407"/>
      <c r="BD27" s="1421">
        <f t="shared" si="3"/>
        <v>12000</v>
      </c>
      <c r="BE27" s="1291"/>
      <c r="BF27" s="1291"/>
      <c r="BG27" s="1291"/>
      <c r="BH27" s="1291"/>
      <c r="BI27" s="1291"/>
      <c r="BJ27" s="1291"/>
      <c r="BK27" s="1291"/>
      <c r="BL27" s="1291"/>
      <c r="BM27" s="1291"/>
      <c r="BN27" s="1291"/>
      <c r="BO27" s="1291"/>
      <c r="BP27" s="1291"/>
      <c r="BQ27" s="1291"/>
      <c r="BR27" s="1291"/>
      <c r="BS27" s="1291"/>
      <c r="BT27" s="1291"/>
      <c r="BU27" s="1291"/>
      <c r="BV27" s="1291"/>
      <c r="BW27" s="1291"/>
      <c r="BX27" s="1291"/>
      <c r="BY27" s="1291"/>
      <c r="BZ27" s="1291"/>
      <c r="CA27" s="1291"/>
      <c r="CB27" s="1291"/>
      <c r="CC27" s="1291"/>
      <c r="CD27" s="1291"/>
      <c r="CE27" s="1291"/>
      <c r="CF27" s="1291"/>
      <c r="CG27" s="1291"/>
      <c r="CH27" s="1291"/>
      <c r="CI27" s="1291"/>
      <c r="CJ27" s="1291"/>
      <c r="CK27" s="1291"/>
      <c r="CL27" s="1291"/>
      <c r="CM27" s="1291"/>
      <c r="CN27" s="1291"/>
      <c r="CO27" s="1291"/>
      <c r="CP27" s="1291"/>
      <c r="CQ27" s="1291"/>
      <c r="CR27" s="1291"/>
      <c r="CS27" s="1291"/>
      <c r="CT27" s="1291"/>
      <c r="CU27" s="1291"/>
      <c r="CV27" s="1291"/>
      <c r="CW27" s="1291"/>
      <c r="CX27" s="1291"/>
      <c r="CY27" s="1291"/>
      <c r="CZ27" s="1291"/>
      <c r="DA27" s="1291"/>
      <c r="DB27" s="1291"/>
      <c r="DC27" s="1291"/>
      <c r="DD27" s="1291"/>
      <c r="DE27" s="1291"/>
      <c r="DF27" s="1291"/>
      <c r="DG27" s="1291"/>
      <c r="DH27" s="1291"/>
      <c r="DI27" s="1291"/>
      <c r="DJ27" s="1291"/>
      <c r="DK27" s="1291"/>
      <c r="DL27" s="1291"/>
      <c r="DM27" s="1291"/>
      <c r="DN27" s="1291"/>
      <c r="DO27" s="1291"/>
      <c r="DP27" s="1291"/>
      <c r="DQ27" s="1291"/>
      <c r="DR27" s="1291"/>
      <c r="DS27" s="1291"/>
      <c r="DT27" s="1291"/>
      <c r="DU27" s="1291"/>
      <c r="DV27" s="1291"/>
      <c r="DW27" s="1291"/>
      <c r="DX27" s="1291"/>
      <c r="DY27" s="1291"/>
      <c r="DZ27" s="1291"/>
      <c r="EA27" s="1291"/>
      <c r="EB27" s="1291"/>
      <c r="EC27" s="1291"/>
      <c r="ED27" s="1291"/>
      <c r="EE27" s="1291"/>
      <c r="EF27" s="1291"/>
      <c r="EG27" s="1291"/>
      <c r="EH27" s="1291"/>
      <c r="EI27" s="1291"/>
      <c r="EJ27" s="1291"/>
      <c r="EK27" s="1291"/>
      <c r="EL27" s="1291"/>
      <c r="EM27" s="1291"/>
      <c r="EN27" s="1291"/>
      <c r="EO27" s="1291"/>
      <c r="EP27" s="1291"/>
      <c r="EQ27" s="1291"/>
      <c r="ER27" s="1291"/>
      <c r="ES27" s="1291"/>
      <c r="ET27" s="1291"/>
      <c r="EU27" s="1291"/>
      <c r="EV27" s="1291"/>
      <c r="EW27" s="1291"/>
      <c r="EX27" s="1291"/>
      <c r="EY27" s="1291"/>
      <c r="EZ27" s="1291"/>
      <c r="FA27" s="1291"/>
      <c r="FB27" s="1291"/>
      <c r="FC27" s="1291"/>
      <c r="FD27" s="1291"/>
      <c r="FE27" s="1291"/>
      <c r="FF27" s="1291"/>
      <c r="FG27" s="1291"/>
      <c r="FH27" s="1291"/>
      <c r="FI27" s="1291"/>
      <c r="FJ27" s="1291"/>
      <c r="FK27" s="1291"/>
      <c r="FL27" s="1291"/>
      <c r="FM27" s="1291"/>
      <c r="FN27" s="1291"/>
      <c r="FO27" s="1291"/>
      <c r="FP27" s="1291"/>
      <c r="FQ27" s="1291"/>
      <c r="FR27" s="1291"/>
      <c r="FS27" s="1291"/>
      <c r="FT27" s="1291"/>
      <c r="FU27" s="1291"/>
      <c r="FV27" s="1291"/>
      <c r="FW27" s="1291"/>
      <c r="FX27" s="1291"/>
      <c r="FY27" s="1291"/>
      <c r="FZ27" s="1291"/>
      <c r="GA27" s="1291"/>
      <c r="GB27" s="1291"/>
      <c r="GC27" s="1291"/>
      <c r="GD27" s="1291"/>
      <c r="GE27" s="1291"/>
      <c r="GF27" s="1291"/>
      <c r="GG27" s="1291"/>
      <c r="GH27" s="1291"/>
      <c r="GI27" s="1291"/>
      <c r="GJ27" s="1291"/>
      <c r="GK27" s="1291"/>
      <c r="GL27" s="1291"/>
      <c r="GM27" s="1291"/>
      <c r="GN27" s="1291"/>
      <c r="GO27" s="1291"/>
      <c r="GP27" s="1291"/>
      <c r="GQ27" s="1291"/>
      <c r="GR27" s="1291"/>
      <c r="GS27" s="1291"/>
      <c r="GT27" s="1291"/>
      <c r="GU27" s="1291"/>
      <c r="GV27" s="1291"/>
      <c r="GW27" s="1291"/>
      <c r="GX27" s="1291"/>
      <c r="GY27" s="1291"/>
      <c r="GZ27" s="1291"/>
      <c r="HA27" s="1291"/>
      <c r="HB27" s="1291"/>
      <c r="HC27" s="1291"/>
      <c r="HD27" s="1291"/>
      <c r="HE27" s="1291"/>
      <c r="HF27" s="1291"/>
      <c r="HG27" s="1291"/>
      <c r="HH27" s="1291"/>
      <c r="HI27" s="1291"/>
      <c r="HJ27" s="1291"/>
      <c r="HK27" s="1291"/>
      <c r="HL27" s="1291"/>
      <c r="HM27" s="1291"/>
      <c r="HN27" s="1291"/>
      <c r="HO27" s="1291"/>
      <c r="HP27" s="1291"/>
    </row>
    <row r="28" spans="1:224" x14ac:dyDescent="0.3">
      <c r="A28" s="1291"/>
      <c r="B28" s="1291"/>
      <c r="C28" s="1291"/>
      <c r="D28" s="1290"/>
      <c r="E28" s="1291"/>
      <c r="F28" s="1291"/>
      <c r="G28" s="1291"/>
      <c r="H28" s="1291"/>
      <c r="I28" s="1291"/>
      <c r="J28" s="1291"/>
      <c r="K28" s="1291"/>
      <c r="L28" s="1291"/>
      <c r="M28" s="1373"/>
      <c r="N28" s="1373"/>
      <c r="O28" s="1373"/>
      <c r="P28" s="1373"/>
      <c r="Q28" s="1373"/>
      <c r="R28" s="1374"/>
      <c r="S28" s="1373"/>
      <c r="T28" s="1373"/>
      <c r="U28" s="1373"/>
      <c r="V28" s="1373"/>
      <c r="W28" s="1373"/>
      <c r="X28" s="1373"/>
      <c r="Y28" s="1373"/>
      <c r="Z28" s="1373"/>
      <c r="AA28" s="1373"/>
      <c r="AB28" s="1373"/>
      <c r="AC28" s="1373"/>
      <c r="AD28" s="1373"/>
      <c r="AE28" s="1373"/>
      <c r="AF28" s="1373"/>
      <c r="AG28" s="1373"/>
      <c r="AH28" s="1373"/>
      <c r="AI28" s="1373"/>
      <c r="AJ28" s="1373"/>
      <c r="AK28" s="1373"/>
      <c r="AL28" s="1373"/>
      <c r="AM28" s="1373"/>
      <c r="AN28" s="1373"/>
      <c r="AO28" s="1373"/>
      <c r="AP28" s="1373"/>
      <c r="AQ28" s="1374"/>
      <c r="AR28" s="1373"/>
      <c r="AS28" s="1373"/>
      <c r="AT28" s="1373"/>
      <c r="AU28" s="1374"/>
      <c r="AV28" s="1373"/>
      <c r="AW28" s="1373"/>
      <c r="AX28" s="1373"/>
      <c r="AY28" s="1373"/>
      <c r="AZ28" s="1373"/>
      <c r="BA28" s="1373"/>
      <c r="BB28" s="1373"/>
      <c r="BC28" s="1374"/>
      <c r="BD28" s="1291"/>
      <c r="BE28" s="1291"/>
      <c r="BF28" s="1291"/>
      <c r="BG28" s="1291"/>
      <c r="BH28" s="1291"/>
      <c r="BI28" s="1291"/>
      <c r="BJ28" s="1291"/>
      <c r="BK28" s="1291"/>
      <c r="BL28" s="1291"/>
      <c r="BM28" s="1291"/>
      <c r="BN28" s="1291"/>
      <c r="BO28" s="1291"/>
      <c r="BP28" s="1291"/>
      <c r="BQ28" s="1291"/>
      <c r="BR28" s="1291"/>
      <c r="BS28" s="1291"/>
      <c r="BT28" s="1291"/>
      <c r="BU28" s="1291"/>
      <c r="BV28" s="1291"/>
      <c r="BW28" s="1291"/>
      <c r="BX28" s="1291"/>
      <c r="BY28" s="1291"/>
      <c r="BZ28" s="1291"/>
      <c r="CA28" s="1291"/>
      <c r="CB28" s="1291"/>
      <c r="CC28" s="1291"/>
      <c r="CD28" s="1291"/>
      <c r="CE28" s="1291"/>
      <c r="CF28" s="1291"/>
      <c r="CG28" s="1291"/>
      <c r="CH28" s="1291"/>
      <c r="CI28" s="1291"/>
      <c r="CJ28" s="1291"/>
      <c r="CK28" s="1291"/>
      <c r="CL28" s="1291"/>
      <c r="CM28" s="1291"/>
      <c r="CN28" s="1291"/>
      <c r="CO28" s="1291"/>
      <c r="CP28" s="1291"/>
      <c r="CQ28" s="1291"/>
      <c r="CR28" s="1291"/>
      <c r="CS28" s="1291"/>
      <c r="CT28" s="1291"/>
      <c r="CU28" s="1291"/>
      <c r="CV28" s="1291"/>
      <c r="CW28" s="1291"/>
      <c r="CX28" s="1291"/>
      <c r="CY28" s="1291"/>
      <c r="CZ28" s="1291"/>
      <c r="DA28" s="1291"/>
      <c r="DB28" s="1291"/>
      <c r="DC28" s="1291"/>
      <c r="DD28" s="1291"/>
      <c r="DE28" s="1291"/>
      <c r="DF28" s="1291"/>
      <c r="DG28" s="1291"/>
      <c r="DH28" s="1291"/>
      <c r="DI28" s="1291"/>
      <c r="DJ28" s="1291"/>
      <c r="DK28" s="1291"/>
      <c r="DL28" s="1291"/>
      <c r="DM28" s="1291"/>
      <c r="DN28" s="1291"/>
      <c r="DO28" s="1291"/>
      <c r="DP28" s="1291"/>
      <c r="DQ28" s="1291"/>
      <c r="DR28" s="1291"/>
      <c r="DS28" s="1291"/>
      <c r="DT28" s="1291"/>
      <c r="DU28" s="1291"/>
      <c r="DV28" s="1291"/>
      <c r="DW28" s="1291"/>
      <c r="DX28" s="1291"/>
      <c r="DY28" s="1291"/>
      <c r="DZ28" s="1291"/>
      <c r="EA28" s="1291"/>
      <c r="EB28" s="1291"/>
      <c r="EC28" s="1291"/>
      <c r="ED28" s="1291"/>
      <c r="EE28" s="1291"/>
      <c r="EF28" s="1291"/>
      <c r="EG28" s="1291"/>
      <c r="EH28" s="1291"/>
      <c r="EI28" s="1291"/>
      <c r="EJ28" s="1291"/>
      <c r="EK28" s="1291"/>
      <c r="EL28" s="1291"/>
      <c r="EM28" s="1291"/>
      <c r="EN28" s="1291"/>
      <c r="EO28" s="1291"/>
      <c r="EP28" s="1291"/>
      <c r="EQ28" s="1291"/>
      <c r="ER28" s="1291"/>
      <c r="ES28" s="1291"/>
      <c r="ET28" s="1291"/>
      <c r="EU28" s="1291"/>
      <c r="EV28" s="1291"/>
      <c r="EW28" s="1291"/>
      <c r="EX28" s="1291"/>
      <c r="EY28" s="1291"/>
      <c r="EZ28" s="1291"/>
      <c r="FA28" s="1291"/>
      <c r="FB28" s="1291"/>
      <c r="FC28" s="1291"/>
      <c r="FD28" s="1291"/>
      <c r="FE28" s="1291"/>
      <c r="FF28" s="1291"/>
      <c r="FG28" s="1291"/>
      <c r="FH28" s="1291"/>
      <c r="FI28" s="1291"/>
      <c r="FJ28" s="1291"/>
      <c r="FK28" s="1291"/>
      <c r="FL28" s="1291"/>
      <c r="FM28" s="1291"/>
      <c r="FN28" s="1291"/>
      <c r="FO28" s="1291"/>
      <c r="FP28" s="1291"/>
      <c r="FQ28" s="1291"/>
      <c r="FR28" s="1291"/>
      <c r="FS28" s="1291"/>
      <c r="FT28" s="1291"/>
      <c r="FU28" s="1291"/>
      <c r="FV28" s="1291"/>
      <c r="FW28" s="1291"/>
      <c r="FX28" s="1291"/>
      <c r="FY28" s="1291"/>
      <c r="FZ28" s="1291"/>
      <c r="GA28" s="1291"/>
      <c r="GB28" s="1291"/>
      <c r="GC28" s="1291"/>
      <c r="GD28" s="1291"/>
      <c r="GE28" s="1291"/>
      <c r="GF28" s="1291"/>
      <c r="GG28" s="1291"/>
      <c r="GH28" s="1291"/>
      <c r="GI28" s="1291"/>
      <c r="GJ28" s="1291"/>
      <c r="GK28" s="1291"/>
      <c r="GL28" s="1291"/>
      <c r="GM28" s="1291"/>
      <c r="GN28" s="1291"/>
      <c r="GO28" s="1291"/>
      <c r="GP28" s="1291"/>
      <c r="GQ28" s="1291"/>
      <c r="GR28" s="1291"/>
      <c r="GS28" s="1291"/>
      <c r="GT28" s="1291"/>
      <c r="GU28" s="1291"/>
      <c r="GV28" s="1291"/>
      <c r="GW28" s="1291"/>
      <c r="GX28" s="1291"/>
      <c r="GY28" s="1291"/>
      <c r="GZ28" s="1291"/>
      <c r="HA28" s="1291"/>
      <c r="HB28" s="1291"/>
      <c r="HC28" s="1291"/>
      <c r="HD28" s="1291"/>
      <c r="HE28" s="1291"/>
      <c r="HF28" s="1291"/>
      <c r="HG28" s="1291"/>
      <c r="HH28" s="1291"/>
      <c r="HI28" s="1291"/>
      <c r="HJ28" s="1291"/>
      <c r="HK28" s="1291"/>
      <c r="HL28" s="1291"/>
      <c r="HM28" s="1291"/>
      <c r="HN28" s="1291"/>
      <c r="HO28" s="1291"/>
      <c r="HP28" s="1291"/>
    </row>
    <row r="29" spans="1:224" x14ac:dyDescent="0.3">
      <c r="A29" s="1291"/>
      <c r="B29" s="1291"/>
      <c r="C29" s="1291"/>
      <c r="D29" s="1291"/>
      <c r="E29" s="1291"/>
      <c r="F29" s="1291"/>
      <c r="G29" s="1291"/>
      <c r="H29" s="1291"/>
      <c r="I29" s="1291"/>
      <c r="J29" s="1291"/>
      <c r="K29" s="1291"/>
      <c r="L29" s="1291"/>
      <c r="M29" s="1373" t="s">
        <v>450</v>
      </c>
      <c r="N29" s="3192">
        <f>+O5+W5+AA5+AE5+AI5+AN5+AR5+AV5+AZ5</f>
        <v>370900</v>
      </c>
      <c r="O29" s="3192"/>
      <c r="P29" s="1373"/>
      <c r="Q29" s="1373"/>
      <c r="R29" s="1374"/>
      <c r="S29" s="1373"/>
      <c r="T29" s="1373"/>
      <c r="U29" s="1373"/>
      <c r="V29" s="1373"/>
      <c r="W29" s="1373"/>
      <c r="X29" s="1373"/>
      <c r="Y29" s="1373"/>
      <c r="Z29" s="1373"/>
      <c r="AA29" s="1373"/>
      <c r="AB29" s="1373"/>
      <c r="AC29" s="1373"/>
      <c r="AD29" s="1373"/>
      <c r="AE29" s="1373"/>
      <c r="AF29" s="1373"/>
      <c r="AG29" s="1373"/>
      <c r="AH29" s="1373"/>
      <c r="AI29" s="1373"/>
      <c r="AJ29" s="1373"/>
      <c r="AK29" s="1373"/>
      <c r="AL29" s="1373"/>
      <c r="AM29" s="1373"/>
      <c r="AN29" s="1373"/>
      <c r="AO29" s="1373"/>
      <c r="AP29" s="1373"/>
      <c r="AQ29" s="1374"/>
      <c r="AR29" s="1373"/>
      <c r="AS29" s="1373"/>
      <c r="AT29" s="1373"/>
      <c r="AU29" s="1374"/>
      <c r="AV29" s="1373"/>
      <c r="AW29" s="1373"/>
      <c r="AX29" s="1373"/>
      <c r="AY29" s="1373"/>
      <c r="AZ29" s="1373"/>
      <c r="BA29" s="1373"/>
      <c r="BB29" s="1375"/>
      <c r="BC29" s="1374"/>
      <c r="BD29" s="1291"/>
      <c r="BE29" s="1291"/>
      <c r="BF29" s="1291"/>
      <c r="BG29" s="1291"/>
      <c r="BH29" s="1291"/>
      <c r="BI29" s="1291"/>
      <c r="BJ29" s="1291"/>
      <c r="BK29" s="1291"/>
      <c r="BL29" s="1291"/>
      <c r="BM29" s="1291"/>
      <c r="BN29" s="1291"/>
      <c r="BO29" s="1291"/>
      <c r="BP29" s="1291"/>
      <c r="BQ29" s="1291"/>
      <c r="BR29" s="1291"/>
      <c r="BS29" s="1291"/>
      <c r="BT29" s="1291"/>
      <c r="BU29" s="1291"/>
      <c r="BV29" s="1291"/>
      <c r="BW29" s="1291"/>
      <c r="BX29" s="1291"/>
      <c r="BY29" s="1291"/>
      <c r="BZ29" s="1291"/>
      <c r="CA29" s="1291"/>
      <c r="CB29" s="1291"/>
      <c r="CC29" s="1291"/>
      <c r="CD29" s="1291"/>
      <c r="CE29" s="1291"/>
      <c r="CF29" s="1291"/>
      <c r="CG29" s="1291"/>
      <c r="CH29" s="1291"/>
      <c r="CI29" s="1291"/>
      <c r="CJ29" s="1291"/>
      <c r="CK29" s="1291"/>
      <c r="CL29" s="1291"/>
      <c r="CM29" s="1291"/>
      <c r="CN29" s="1291"/>
      <c r="CO29" s="1291"/>
      <c r="CP29" s="1291"/>
      <c r="CQ29" s="1291"/>
      <c r="CR29" s="1291"/>
      <c r="CS29" s="1291"/>
      <c r="CT29" s="1291"/>
      <c r="CU29" s="1291"/>
      <c r="CV29" s="1291"/>
      <c r="CW29" s="1291"/>
      <c r="CX29" s="1291"/>
      <c r="CY29" s="1291"/>
      <c r="CZ29" s="1291"/>
      <c r="DA29" s="1291"/>
      <c r="DB29" s="1291"/>
      <c r="DC29" s="1291"/>
      <c r="DD29" s="1291"/>
      <c r="DE29" s="1291"/>
      <c r="DF29" s="1291"/>
      <c r="DG29" s="1291"/>
      <c r="DH29" s="1291"/>
      <c r="DI29" s="1291"/>
      <c r="DJ29" s="1291"/>
      <c r="DK29" s="1291"/>
      <c r="DL29" s="1291"/>
      <c r="DM29" s="1291"/>
      <c r="DN29" s="1291"/>
      <c r="DO29" s="1291"/>
      <c r="DP29" s="1291"/>
      <c r="DQ29" s="1291"/>
      <c r="DR29" s="1291"/>
      <c r="DS29" s="1291"/>
      <c r="DT29" s="1291"/>
      <c r="DU29" s="1291"/>
      <c r="DV29" s="1291"/>
      <c r="DW29" s="1291"/>
      <c r="DX29" s="1291"/>
      <c r="DY29" s="1291"/>
      <c r="DZ29" s="1291"/>
      <c r="EA29" s="1291"/>
      <c r="EB29" s="1291"/>
      <c r="EC29" s="1291"/>
      <c r="ED29" s="1291"/>
      <c r="EE29" s="1291"/>
      <c r="EF29" s="1291"/>
      <c r="EG29" s="1291"/>
      <c r="EH29" s="1291"/>
      <c r="EI29" s="1291"/>
      <c r="EJ29" s="1291"/>
      <c r="EK29" s="1291"/>
      <c r="EL29" s="1291"/>
      <c r="EM29" s="1291"/>
      <c r="EN29" s="1291"/>
      <c r="EO29" s="1291"/>
      <c r="EP29" s="1291"/>
      <c r="EQ29" s="1291"/>
      <c r="ER29" s="1291"/>
      <c r="ES29" s="1291"/>
      <c r="ET29" s="1291"/>
      <c r="EU29" s="1291"/>
      <c r="EV29" s="1291"/>
      <c r="EW29" s="1291"/>
      <c r="EX29" s="1291"/>
      <c r="EY29" s="1291"/>
      <c r="EZ29" s="1291"/>
      <c r="FA29" s="1291"/>
      <c r="FB29" s="1291"/>
      <c r="FC29" s="1291"/>
      <c r="FD29" s="1291"/>
      <c r="FE29" s="1291"/>
      <c r="FF29" s="1291"/>
      <c r="FG29" s="1291"/>
      <c r="FH29" s="1291"/>
      <c r="FI29" s="1291"/>
      <c r="FJ29" s="1291"/>
      <c r="FK29" s="1291"/>
      <c r="FL29" s="1291"/>
      <c r="FM29" s="1291"/>
      <c r="FN29" s="1291"/>
      <c r="FO29" s="1291"/>
      <c r="FP29" s="1291"/>
      <c r="FQ29" s="1291"/>
      <c r="FR29" s="1291"/>
      <c r="FS29" s="1291"/>
      <c r="FT29" s="1291"/>
      <c r="FU29" s="1291"/>
      <c r="FV29" s="1291"/>
      <c r="FW29" s="1291"/>
      <c r="FX29" s="1291"/>
      <c r="FY29" s="1291"/>
      <c r="FZ29" s="1291"/>
      <c r="GA29" s="1291"/>
      <c r="GB29" s="1291"/>
      <c r="GC29" s="1291"/>
      <c r="GD29" s="1291"/>
      <c r="GE29" s="1291"/>
      <c r="GF29" s="1291"/>
      <c r="GG29" s="1291"/>
      <c r="GH29" s="1291"/>
      <c r="GI29" s="1291"/>
      <c r="GJ29" s="1291"/>
      <c r="GK29" s="1291"/>
      <c r="GL29" s="1291"/>
      <c r="GM29" s="1291"/>
      <c r="GN29" s="1291"/>
      <c r="GO29" s="1291"/>
      <c r="GP29" s="1291"/>
      <c r="GQ29" s="1291"/>
      <c r="GR29" s="1291"/>
      <c r="GS29" s="1291"/>
      <c r="GT29" s="1291"/>
      <c r="GU29" s="1291"/>
      <c r="GV29" s="1291"/>
      <c r="GW29" s="1291"/>
      <c r="GX29" s="1291"/>
      <c r="GY29" s="1291"/>
      <c r="GZ29" s="1291"/>
      <c r="HA29" s="1291"/>
      <c r="HB29" s="1291"/>
      <c r="HC29" s="1291"/>
      <c r="HD29" s="1291"/>
      <c r="HE29" s="1291"/>
      <c r="HF29" s="1291"/>
      <c r="HG29" s="1291"/>
      <c r="HH29" s="1291"/>
      <c r="HI29" s="1291"/>
      <c r="HJ29" s="1291"/>
      <c r="HK29" s="1291"/>
      <c r="HL29" s="1291"/>
      <c r="HM29" s="1291"/>
      <c r="HN29" s="1291"/>
      <c r="HO29" s="1291"/>
      <c r="HP29" s="1291"/>
    </row>
    <row r="30" spans="1:224" x14ac:dyDescent="0.3">
      <c r="M30" s="1373" t="s">
        <v>451</v>
      </c>
      <c r="N30" s="3192">
        <f>+P5+T5+X5+AB5+AF5+AJ5+AO5+AS5+AW5+BA5</f>
        <v>664290</v>
      </c>
      <c r="O30" s="3192"/>
      <c r="P30" s="1373"/>
      <c r="Q30" s="1373"/>
      <c r="R30" s="1374"/>
      <c r="S30" s="1373"/>
      <c r="T30" s="1373"/>
      <c r="U30" s="1373"/>
      <c r="V30" s="1373"/>
      <c r="W30" s="1373"/>
      <c r="X30" s="1373"/>
      <c r="Y30" s="1373"/>
      <c r="Z30" s="1373"/>
      <c r="AA30" s="1373"/>
      <c r="AB30" s="1373"/>
      <c r="AC30" s="1373"/>
      <c r="AD30" s="1373"/>
      <c r="AE30" s="1373"/>
      <c r="AF30" s="1373"/>
      <c r="AG30" s="1373"/>
      <c r="AH30" s="1373"/>
      <c r="AI30" s="1373"/>
      <c r="AJ30" s="1373"/>
      <c r="AK30" s="1373"/>
      <c r="AL30" s="1373"/>
      <c r="AM30" s="1373"/>
      <c r="AN30" s="1373"/>
      <c r="AO30" s="1373"/>
      <c r="AP30" s="1373"/>
      <c r="AQ30" s="1374"/>
      <c r="AR30" s="1373"/>
      <c r="AS30" s="1373"/>
      <c r="AT30" s="1373"/>
      <c r="AU30" s="1374"/>
      <c r="AV30" s="1373"/>
      <c r="AW30" s="1373"/>
      <c r="AX30" s="1373"/>
      <c r="AY30" s="1373"/>
      <c r="AZ30" s="1373"/>
      <c r="BA30" s="1373"/>
      <c r="BB30" s="1373"/>
      <c r="BC30" s="1374"/>
    </row>
    <row r="31" spans="1:224" x14ac:dyDescent="0.3">
      <c r="M31" s="1266" t="s">
        <v>572</v>
      </c>
      <c r="N31" s="3188">
        <f>+M5+Q5+Y5+AC5+AG5+AK5+AP5+AT5+AX5+BB5</f>
        <v>1053820</v>
      </c>
      <c r="O31" s="3188"/>
    </row>
    <row r="32" spans="1:224" x14ac:dyDescent="0.3">
      <c r="N32" s="3188">
        <f>SUM(N29:N31)</f>
        <v>2089010</v>
      </c>
      <c r="O32" s="3188"/>
    </row>
  </sheetData>
  <mergeCells count="18">
    <mergeCell ref="AR3:AU3"/>
    <mergeCell ref="A2:AL2"/>
    <mergeCell ref="AM2:BD2"/>
    <mergeCell ref="AV3:AY3"/>
    <mergeCell ref="AZ3:BC3"/>
    <mergeCell ref="BD3:BD4"/>
    <mergeCell ref="K3:N3"/>
    <mergeCell ref="O3:R3"/>
    <mergeCell ref="S3:V3"/>
    <mergeCell ref="W3:Z3"/>
    <mergeCell ref="AN3:AQ3"/>
    <mergeCell ref="N31:O31"/>
    <mergeCell ref="N32:O32"/>
    <mergeCell ref="AA3:AD3"/>
    <mergeCell ref="AE3:AH3"/>
    <mergeCell ref="AI3:AL3"/>
    <mergeCell ref="N29:O29"/>
    <mergeCell ref="N30:O30"/>
  </mergeCells>
  <pageMargins left="0" right="0.11811023622047245" top="0.74803149606299213" bottom="0.74803149606299213" header="0.31496062992125984" footer="0.31496062992125984"/>
  <pageSetup paperSize="9" scale="8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L71"/>
  <sheetViews>
    <sheetView view="pageBreakPreview" topLeftCell="A23" zoomScaleNormal="90" zoomScaleSheetLayoutView="100" workbookViewId="0">
      <pane ySplit="3" topLeftCell="A26" activePane="bottomLeft" state="frozen"/>
      <selection activeCell="A23" sqref="A23"/>
      <selection pane="bottomLeft" activeCell="L31" sqref="L31"/>
    </sheetView>
  </sheetViews>
  <sheetFormatPr defaultColWidth="9" defaultRowHeight="18.75" x14ac:dyDescent="0.3"/>
  <cols>
    <col min="1" max="1" width="3.5703125" style="1062" customWidth="1"/>
    <col min="2" max="2" width="3.5703125" style="366" customWidth="1"/>
    <col min="3" max="3" width="30.5703125" style="366" customWidth="1"/>
    <col min="4" max="4" width="12.85546875" style="416" customWidth="1"/>
    <col min="5" max="5" width="9.140625" style="416" hidden="1" customWidth="1"/>
    <col min="6" max="6" width="11.85546875" style="416" customWidth="1"/>
    <col min="7" max="7" width="8.28515625" style="416" hidden="1" customWidth="1"/>
    <col min="8" max="8" width="9" style="416" hidden="1" customWidth="1"/>
    <col min="9" max="10" width="11.5703125" style="416" hidden="1" customWidth="1"/>
    <col min="11" max="12" width="11.5703125" style="395" customWidth="1"/>
    <col min="13" max="13" width="11.28515625" style="416" customWidth="1"/>
    <col min="14" max="14" width="11.85546875" style="416" hidden="1" customWidth="1"/>
    <col min="15" max="16" width="10.7109375" style="366" hidden="1" customWidth="1"/>
    <col min="17" max="17" width="10.28515625" style="366" hidden="1" customWidth="1"/>
    <col min="18" max="18" width="11.7109375" style="366" customWidth="1"/>
    <col min="19" max="19" width="11" style="366" hidden="1" customWidth="1"/>
    <col min="20" max="20" width="15.28515625" style="366" customWidth="1"/>
    <col min="21" max="21" width="16" style="366" customWidth="1"/>
    <col min="22" max="22" width="13.85546875" style="366" customWidth="1"/>
    <col min="23" max="23" width="9.85546875" style="366" hidden="1" customWidth="1"/>
    <col min="24" max="24" width="12.85546875" style="1125" customWidth="1"/>
    <col min="25" max="25" width="10.5703125" style="1125" customWidth="1"/>
    <col min="26" max="26" width="9.140625" style="1125" customWidth="1"/>
    <col min="27" max="28" width="9" style="1125"/>
    <col min="29" max="29" width="9.140625" style="1125" bestFit="1" customWidth="1"/>
    <col min="30" max="38" width="9" style="1125"/>
    <col min="39" max="16384" width="9" style="1062"/>
  </cols>
  <sheetData>
    <row r="1" spans="1:38" hidden="1" x14ac:dyDescent="0.3">
      <c r="A1" s="3144" t="s">
        <v>424</v>
      </c>
      <c r="B1" s="3144"/>
      <c r="C1" s="3144"/>
      <c r="D1" s="3144"/>
      <c r="E1" s="3144"/>
      <c r="F1" s="3144"/>
      <c r="G1" s="3144"/>
      <c r="H1" s="3144"/>
      <c r="I1" s="3144"/>
      <c r="J1" s="3144"/>
      <c r="K1" s="3144"/>
      <c r="L1" s="3144"/>
      <c r="M1" s="3144"/>
      <c r="N1" s="3144"/>
    </row>
    <row r="2" spans="1:38" hidden="1" x14ac:dyDescent="0.3">
      <c r="A2" s="1063"/>
      <c r="B2" s="1536" t="s">
        <v>425</v>
      </c>
      <c r="D2" s="1063"/>
      <c r="E2" s="1063"/>
      <c r="F2" s="1063"/>
      <c r="G2" s="1063"/>
      <c r="H2" s="1063"/>
      <c r="I2" s="1064" t="s">
        <v>426</v>
      </c>
      <c r="J2" s="1063"/>
      <c r="K2" s="791"/>
      <c r="L2" s="791"/>
      <c r="M2" s="1063"/>
      <c r="N2" s="1063"/>
    </row>
    <row r="3" spans="1:38" hidden="1" x14ac:dyDescent="0.3">
      <c r="A3" s="1063"/>
      <c r="B3" s="1070"/>
      <c r="D3" s="1063"/>
      <c r="E3" s="1063"/>
      <c r="F3" s="1066"/>
      <c r="G3" s="1063"/>
      <c r="H3" s="1063"/>
      <c r="I3" s="1065"/>
      <c r="J3" s="1063"/>
      <c r="K3" s="791"/>
      <c r="L3" s="791"/>
      <c r="M3" s="3198"/>
      <c r="N3" s="3198"/>
    </row>
    <row r="4" spans="1:38" hidden="1" x14ac:dyDescent="0.3">
      <c r="A4" s="1063"/>
      <c r="B4" s="1070" t="s">
        <v>427</v>
      </c>
      <c r="D4" s="1063"/>
      <c r="E4" s="3199">
        <v>28188500</v>
      </c>
      <c r="F4" s="3199"/>
      <c r="G4" s="1063"/>
      <c r="H4" s="1063"/>
      <c r="I4" s="1065" t="s">
        <v>428</v>
      </c>
      <c r="J4" s="1063"/>
      <c r="K4" s="366"/>
      <c r="L4" s="366"/>
      <c r="M4" s="3199">
        <v>11132050</v>
      </c>
      <c r="N4" s="3199"/>
    </row>
    <row r="5" spans="1:38" hidden="1" x14ac:dyDescent="0.3">
      <c r="A5" s="1063"/>
      <c r="B5" s="1070" t="s">
        <v>429</v>
      </c>
      <c r="D5" s="1063"/>
      <c r="E5" s="3200">
        <v>5924400</v>
      </c>
      <c r="F5" s="3200"/>
      <c r="G5" s="1063"/>
      <c r="H5" s="1063"/>
      <c r="I5" s="1065" t="s">
        <v>430</v>
      </c>
      <c r="J5" s="1063"/>
      <c r="K5" s="366"/>
      <c r="L5" s="366"/>
      <c r="M5" s="1067"/>
      <c r="N5" s="1067">
        <v>5566000</v>
      </c>
      <c r="X5" s="1228"/>
    </row>
    <row r="6" spans="1:38" hidden="1" x14ac:dyDescent="0.3">
      <c r="A6" s="1063"/>
      <c r="B6" s="1070" t="s">
        <v>431</v>
      </c>
      <c r="D6" s="1063"/>
      <c r="E6" s="3212">
        <f>+E4-E5</f>
        <v>22264100</v>
      </c>
      <c r="F6" s="3212"/>
      <c r="G6" s="1063"/>
      <c r="H6" s="1063"/>
      <c r="I6" s="1065" t="s">
        <v>481</v>
      </c>
      <c r="J6" s="1063"/>
      <c r="K6" s="366"/>
      <c r="L6" s="366"/>
      <c r="M6" s="1067"/>
      <c r="N6" s="1067">
        <f>6789250-(721500*3)</f>
        <v>4624750</v>
      </c>
      <c r="X6" s="1228"/>
    </row>
    <row r="7" spans="1:38" s="595" customFormat="1" hidden="1" x14ac:dyDescent="0.3">
      <c r="A7" s="1068"/>
      <c r="B7" s="1070" t="s">
        <v>433</v>
      </c>
      <c r="C7" s="366"/>
      <c r="D7" s="1068"/>
      <c r="E7" s="1068"/>
      <c r="F7" s="1123">
        <f>183000*2</f>
        <v>366000</v>
      </c>
      <c r="G7" s="791"/>
      <c r="H7" s="791"/>
      <c r="I7" s="1070" t="s">
        <v>433</v>
      </c>
      <c r="J7" s="791"/>
      <c r="K7" s="791"/>
      <c r="L7" s="791"/>
      <c r="M7" s="3213">
        <f>183000*2</f>
        <v>366000</v>
      </c>
      <c r="N7" s="3213"/>
      <c r="O7" s="366"/>
      <c r="P7" s="366"/>
      <c r="Q7" s="366"/>
      <c r="R7" s="366"/>
      <c r="S7" s="366"/>
      <c r="T7" s="366"/>
      <c r="U7" s="366"/>
      <c r="V7" s="366"/>
      <c r="W7" s="366"/>
      <c r="X7" s="1228"/>
      <c r="Y7" s="1125"/>
      <c r="Z7" s="1125"/>
      <c r="AA7" s="1125"/>
      <c r="AB7" s="1125"/>
      <c r="AC7" s="1125"/>
      <c r="AD7" s="1125"/>
      <c r="AE7" s="1125"/>
      <c r="AF7" s="1125"/>
      <c r="AG7" s="1125"/>
      <c r="AH7" s="1125"/>
      <c r="AI7" s="1125"/>
      <c r="AJ7" s="1125"/>
      <c r="AK7" s="1125"/>
      <c r="AL7" s="1125"/>
    </row>
    <row r="8" spans="1:38" s="595" customFormat="1" hidden="1" x14ac:dyDescent="0.3">
      <c r="A8" s="1068"/>
      <c r="B8" s="1070" t="s">
        <v>432</v>
      </c>
      <c r="C8" s="366"/>
      <c r="D8" s="1068"/>
      <c r="E8" s="1068"/>
      <c r="F8" s="966">
        <v>6789250</v>
      </c>
      <c r="G8" s="791"/>
      <c r="H8" s="791"/>
      <c r="I8" s="1070" t="s">
        <v>480</v>
      </c>
      <c r="J8" s="791"/>
      <c r="K8" s="791"/>
      <c r="L8" s="791"/>
      <c r="M8" s="1124"/>
      <c r="N8" s="1124">
        <f>882*800*2</f>
        <v>1411200</v>
      </c>
      <c r="O8" s="366"/>
      <c r="P8" s="366"/>
      <c r="Q8" s="366"/>
      <c r="R8" s="366"/>
      <c r="S8" s="366"/>
      <c r="T8" s="366"/>
      <c r="U8" s="366"/>
      <c r="V8" s="366"/>
      <c r="W8" s="366"/>
      <c r="X8" s="1228"/>
      <c r="Y8" s="1125"/>
      <c r="Z8" s="1125"/>
      <c r="AA8" s="1125"/>
      <c r="AB8" s="1125"/>
      <c r="AC8" s="1125"/>
      <c r="AD8" s="1125"/>
      <c r="AE8" s="1125"/>
      <c r="AF8" s="1125"/>
      <c r="AG8" s="1125"/>
      <c r="AH8" s="1125"/>
      <c r="AI8" s="1125"/>
      <c r="AJ8" s="1125"/>
      <c r="AK8" s="1125"/>
      <c r="AL8" s="1125"/>
    </row>
    <row r="9" spans="1:38" hidden="1" x14ac:dyDescent="0.3">
      <c r="A9" s="1063"/>
      <c r="B9" s="1070" t="s">
        <v>435</v>
      </c>
      <c r="D9" s="1063"/>
      <c r="E9" s="1119"/>
      <c r="F9" s="1120">
        <v>2822400</v>
      </c>
      <c r="G9" s="1063"/>
      <c r="H9" s="1063"/>
      <c r="I9" s="1063"/>
      <c r="J9" s="1064" t="s">
        <v>434</v>
      </c>
      <c r="K9" s="366"/>
      <c r="L9" s="366"/>
      <c r="M9" s="3214">
        <f>+M4+N5+N6+M7+N8</f>
        <v>23100000</v>
      </c>
      <c r="N9" s="3214"/>
    </row>
    <row r="10" spans="1:38" hidden="1" x14ac:dyDescent="0.3">
      <c r="A10" s="1063"/>
      <c r="C10" s="1536" t="s">
        <v>437</v>
      </c>
      <c r="D10" s="1063"/>
      <c r="E10" s="3215">
        <f>+E6+F7+F8+F9</f>
        <v>32241750</v>
      </c>
      <c r="F10" s="3215"/>
      <c r="G10" s="1063"/>
      <c r="H10" s="1063"/>
      <c r="I10" s="1064" t="s">
        <v>485</v>
      </c>
      <c r="J10" s="1062"/>
      <c r="K10" s="791"/>
      <c r="L10" s="966"/>
      <c r="M10" s="1119"/>
    </row>
    <row r="11" spans="1:38" hidden="1" x14ac:dyDescent="0.3">
      <c r="A11" s="1063"/>
      <c r="B11" s="1536" t="s">
        <v>439</v>
      </c>
      <c r="C11" s="791"/>
      <c r="D11" s="1063"/>
      <c r="E11" s="1062"/>
      <c r="F11" s="1120"/>
      <c r="G11" s="1063"/>
      <c r="H11" s="1063"/>
      <c r="I11" s="1065" t="s">
        <v>484</v>
      </c>
      <c r="J11" s="1062"/>
      <c r="K11" s="791"/>
      <c r="M11" s="1119"/>
      <c r="N11" s="1119">
        <v>3184093</v>
      </c>
    </row>
    <row r="12" spans="1:38" hidden="1" x14ac:dyDescent="0.3">
      <c r="A12" s="1063"/>
      <c r="B12" s="1070" t="s">
        <v>441</v>
      </c>
      <c r="D12" s="1063"/>
      <c r="E12" s="1121"/>
      <c r="F12" s="406">
        <f>9705821+20310-366000</f>
        <v>9360131</v>
      </c>
      <c r="G12" s="1068"/>
      <c r="H12" s="1069"/>
      <c r="I12" s="1065" t="s">
        <v>436</v>
      </c>
      <c r="K12" s="791"/>
      <c r="N12" s="1119">
        <v>1601814</v>
      </c>
    </row>
    <row r="13" spans="1:38" hidden="1" x14ac:dyDescent="0.3">
      <c r="A13" s="1063"/>
      <c r="B13" s="1070" t="s">
        <v>479</v>
      </c>
      <c r="D13" s="1063"/>
      <c r="E13" s="3208">
        <f>+D61</f>
        <v>22595570.409999996</v>
      </c>
      <c r="F13" s="3208"/>
      <c r="G13" s="1068"/>
      <c r="H13" s="1063"/>
      <c r="I13" s="1065" t="s">
        <v>482</v>
      </c>
      <c r="K13" s="366"/>
      <c r="L13" s="3209"/>
      <c r="M13" s="3209"/>
      <c r="N13" s="1119">
        <v>20310</v>
      </c>
      <c r="S13" s="406">
        <f>+M9-L10-N12</f>
        <v>21498186</v>
      </c>
    </row>
    <row r="14" spans="1:38" hidden="1" x14ac:dyDescent="0.3">
      <c r="A14" s="1063"/>
      <c r="B14" s="791"/>
      <c r="C14" s="791" t="s">
        <v>16</v>
      </c>
      <c r="D14" s="1063"/>
      <c r="E14" s="1062"/>
      <c r="F14" s="1121">
        <f>+E10-F12-E13</f>
        <v>286048.59000000358</v>
      </c>
      <c r="G14" s="1068"/>
      <c r="H14" s="1063"/>
      <c r="I14" s="1065" t="s">
        <v>483</v>
      </c>
      <c r="J14" s="1062"/>
      <c r="K14" s="366"/>
      <c r="L14" s="3209"/>
      <c r="M14" s="3209"/>
      <c r="N14" s="416">
        <f>800*882*2</f>
        <v>1411200</v>
      </c>
    </row>
    <row r="15" spans="1:38" s="366" customFormat="1" hidden="1" x14ac:dyDescent="0.3">
      <c r="A15" s="791"/>
      <c r="B15" s="791"/>
      <c r="C15" s="791" t="s">
        <v>488</v>
      </c>
      <c r="D15" s="791"/>
      <c r="E15" s="3179">
        <f>+E13+F14</f>
        <v>22881619</v>
      </c>
      <c r="F15" s="3179"/>
      <c r="G15" s="1068"/>
      <c r="H15" s="791"/>
      <c r="I15" s="1065" t="s">
        <v>438</v>
      </c>
      <c r="J15" s="1062"/>
      <c r="N15" s="406">
        <f>+'2 สรุปตามงบที่ได้รับมาแล้ว'!J8</f>
        <v>-973615</v>
      </c>
      <c r="U15" s="406"/>
      <c r="V15" s="406"/>
      <c r="W15" s="406"/>
      <c r="X15" s="1125"/>
      <c r="Y15" s="1125"/>
      <c r="Z15" s="1125"/>
      <c r="AA15" s="1125"/>
      <c r="AB15" s="1125"/>
      <c r="AC15" s="1125"/>
      <c r="AD15" s="1125"/>
      <c r="AE15" s="1125"/>
      <c r="AF15" s="1125"/>
      <c r="AG15" s="1125"/>
      <c r="AH15" s="1125"/>
      <c r="AI15" s="1125"/>
      <c r="AJ15" s="1125"/>
      <c r="AK15" s="1125"/>
      <c r="AL15" s="1125"/>
    </row>
    <row r="16" spans="1:38" s="366" customFormat="1" hidden="1" x14ac:dyDescent="0.3">
      <c r="A16" s="791"/>
      <c r="D16" s="791"/>
      <c r="E16" s="3179"/>
      <c r="F16" s="3179"/>
      <c r="G16" s="1068"/>
      <c r="H16" s="791"/>
      <c r="I16" s="1065" t="s">
        <v>440</v>
      </c>
      <c r="J16" s="1062"/>
      <c r="K16" s="791"/>
      <c r="L16" s="791"/>
      <c r="M16" s="942"/>
      <c r="N16" s="1124">
        <f>+'2 สรุปตามงบที่ได้รับมาแล้ว'!K8</f>
        <v>-4321269</v>
      </c>
      <c r="U16" s="406"/>
      <c r="V16" s="406"/>
      <c r="W16" s="406"/>
      <c r="X16" s="1125"/>
      <c r="Y16" s="1125"/>
      <c r="Z16" s="1125"/>
      <c r="AA16" s="1125"/>
      <c r="AB16" s="1125"/>
      <c r="AC16" s="1125"/>
      <c r="AD16" s="1125"/>
      <c r="AE16" s="1125"/>
      <c r="AF16" s="1125"/>
      <c r="AG16" s="1125"/>
      <c r="AH16" s="1125"/>
      <c r="AI16" s="1125"/>
      <c r="AJ16" s="1125"/>
      <c r="AK16" s="1125"/>
      <c r="AL16" s="1125"/>
    </row>
    <row r="17" spans="1:38" s="366" customFormat="1" hidden="1" x14ac:dyDescent="0.3">
      <c r="A17" s="791"/>
      <c r="D17" s="791"/>
      <c r="E17" s="3177"/>
      <c r="F17" s="3177"/>
      <c r="G17" s="1068"/>
      <c r="H17" s="943"/>
      <c r="I17" s="1065" t="s">
        <v>442</v>
      </c>
      <c r="K17" s="791"/>
      <c r="L17" s="791"/>
      <c r="M17" s="791"/>
      <c r="N17" s="957">
        <f>+G61+H61+I61</f>
        <v>2451978</v>
      </c>
      <c r="X17" s="1125"/>
      <c r="Y17" s="1125"/>
      <c r="Z17" s="1125"/>
      <c r="AA17" s="1125"/>
      <c r="AB17" s="1125"/>
      <c r="AC17" s="1125"/>
      <c r="AD17" s="1125"/>
      <c r="AE17" s="1125"/>
      <c r="AF17" s="1125"/>
      <c r="AG17" s="1125"/>
      <c r="AH17" s="1125"/>
      <c r="AI17" s="1125"/>
      <c r="AJ17" s="1125"/>
      <c r="AK17" s="1125"/>
      <c r="AL17" s="1125"/>
    </row>
    <row r="18" spans="1:38" s="366" customFormat="1" hidden="1" x14ac:dyDescent="0.3">
      <c r="A18" s="791"/>
      <c r="D18" s="791"/>
      <c r="E18" s="1122"/>
      <c r="F18" s="1122"/>
      <c r="G18" s="1068"/>
      <c r="H18" s="943"/>
      <c r="I18" s="385" t="s">
        <v>443</v>
      </c>
      <c r="K18" s="791"/>
      <c r="L18" s="791"/>
      <c r="M18" s="791"/>
      <c r="N18" s="943">
        <f>+M9-N11-N12-N13-N14-N15-N16-N17</f>
        <v>19725489</v>
      </c>
      <c r="X18" s="1125"/>
      <c r="Y18" s="1125"/>
      <c r="Z18" s="1125"/>
      <c r="AA18" s="1125"/>
      <c r="AB18" s="1125"/>
      <c r="AC18" s="1125"/>
      <c r="AD18" s="1125"/>
      <c r="AE18" s="1125"/>
      <c r="AF18" s="1125"/>
      <c r="AG18" s="1125"/>
      <c r="AH18" s="1125"/>
      <c r="AI18" s="1125"/>
      <c r="AJ18" s="1125"/>
      <c r="AK18" s="1125"/>
      <c r="AL18" s="1125"/>
    </row>
    <row r="19" spans="1:38" s="366" customFormat="1" hidden="1" x14ac:dyDescent="0.3">
      <c r="A19" s="791"/>
      <c r="D19" s="791"/>
      <c r="E19" s="1122"/>
      <c r="F19" s="1122"/>
      <c r="G19" s="1068"/>
      <c r="H19" s="943"/>
      <c r="I19" s="385"/>
      <c r="K19" s="791"/>
      <c r="L19" s="791"/>
      <c r="M19" s="791"/>
      <c r="N19" s="943"/>
      <c r="X19" s="1125"/>
      <c r="Y19" s="1125"/>
      <c r="Z19" s="1125"/>
      <c r="AA19" s="1125"/>
      <c r="AB19" s="1125"/>
      <c r="AC19" s="1125"/>
      <c r="AD19" s="1125"/>
      <c r="AE19" s="1125"/>
      <c r="AF19" s="1125"/>
      <c r="AG19" s="1125"/>
      <c r="AH19" s="1125"/>
      <c r="AI19" s="1125"/>
      <c r="AJ19" s="1125"/>
      <c r="AK19" s="1125"/>
      <c r="AL19" s="1125"/>
    </row>
    <row r="20" spans="1:38" s="366" customFormat="1" hidden="1" x14ac:dyDescent="0.3">
      <c r="A20" s="791"/>
      <c r="D20" s="791"/>
      <c r="E20" s="1122"/>
      <c r="F20" s="1122"/>
      <c r="G20" s="1068"/>
      <c r="H20" s="943"/>
      <c r="I20" s="385"/>
      <c r="K20" s="791"/>
      <c r="L20" s="791"/>
      <c r="M20" s="791"/>
      <c r="N20" s="943"/>
      <c r="X20" s="1125"/>
      <c r="Y20" s="1125"/>
      <c r="Z20" s="1125"/>
      <c r="AA20" s="1125"/>
      <c r="AB20" s="1125"/>
      <c r="AC20" s="1125"/>
      <c r="AD20" s="1125"/>
      <c r="AE20" s="1125"/>
      <c r="AF20" s="1125"/>
      <c r="AG20" s="1125"/>
      <c r="AH20" s="1125"/>
      <c r="AI20" s="1125"/>
      <c r="AJ20" s="1125"/>
      <c r="AK20" s="1125"/>
      <c r="AL20" s="1125"/>
    </row>
    <row r="21" spans="1:38" s="366" customFormat="1" hidden="1" x14ac:dyDescent="0.3">
      <c r="A21" s="791"/>
      <c r="D21" s="791"/>
      <c r="E21" s="1122"/>
      <c r="F21" s="1122"/>
      <c r="G21" s="1068"/>
      <c r="H21" s="943"/>
      <c r="I21" s="385"/>
      <c r="K21" s="791"/>
      <c r="L21" s="791"/>
      <c r="M21" s="791"/>
      <c r="N21" s="943"/>
      <c r="X21" s="1125"/>
      <c r="Y21" s="1125"/>
      <c r="Z21" s="1125"/>
      <c r="AA21" s="1125"/>
      <c r="AB21" s="1125"/>
      <c r="AC21" s="1125"/>
      <c r="AD21" s="1125"/>
      <c r="AE21" s="1125"/>
      <c r="AF21" s="1125"/>
      <c r="AG21" s="1125"/>
      <c r="AH21" s="1125"/>
      <c r="AI21" s="1125"/>
      <c r="AJ21" s="1125"/>
      <c r="AK21" s="1125"/>
      <c r="AL21" s="1125"/>
    </row>
    <row r="22" spans="1:38" s="366" customFormat="1" ht="19.5" hidden="1" thickBot="1" x14ac:dyDescent="0.35">
      <c r="A22" s="791"/>
      <c r="D22" s="791"/>
      <c r="E22" s="1122"/>
      <c r="F22" s="1122"/>
      <c r="G22" s="1068"/>
      <c r="H22" s="943"/>
      <c r="I22" s="385"/>
      <c r="K22" s="791"/>
      <c r="L22" s="791"/>
      <c r="M22" s="791"/>
      <c r="N22" s="943"/>
      <c r="X22" s="1125"/>
      <c r="Y22" s="1125"/>
      <c r="Z22" s="1125"/>
      <c r="AA22" s="1125"/>
      <c r="AB22" s="1125"/>
      <c r="AC22" s="1125"/>
      <c r="AD22" s="1125"/>
      <c r="AE22" s="1125"/>
      <c r="AF22" s="1125"/>
      <c r="AG22" s="1125"/>
      <c r="AH22" s="1125"/>
      <c r="AI22" s="1125"/>
      <c r="AJ22" s="1125"/>
      <c r="AK22" s="1125"/>
      <c r="AL22" s="1125"/>
    </row>
    <row r="23" spans="1:38" s="366" customFormat="1" ht="17.25" customHeight="1" thickBot="1" x14ac:dyDescent="0.35">
      <c r="A23" s="3150" t="s">
        <v>496</v>
      </c>
      <c r="B23" s="3151"/>
      <c r="C23" s="3151"/>
      <c r="D23" s="3151"/>
      <c r="E23" s="3151"/>
      <c r="F23" s="3151"/>
      <c r="G23" s="3151"/>
      <c r="H23" s="3151"/>
      <c r="I23" s="3151"/>
      <c r="J23" s="3151"/>
      <c r="K23" s="3151"/>
      <c r="L23" s="3151"/>
      <c r="M23" s="3151"/>
      <c r="N23" s="3151"/>
      <c r="O23" s="3151"/>
      <c r="P23" s="3151"/>
      <c r="Q23" s="3151"/>
      <c r="R23" s="3151"/>
      <c r="S23" s="3151"/>
      <c r="T23" s="3151"/>
      <c r="U23" s="3151"/>
      <c r="V23" s="3151"/>
      <c r="W23" s="3151"/>
      <c r="X23" s="3201"/>
      <c r="Y23" s="1125"/>
      <c r="Z23" s="1125"/>
      <c r="AA23" s="1125"/>
      <c r="AB23" s="1125"/>
      <c r="AC23" s="1125"/>
      <c r="AD23" s="1125"/>
      <c r="AE23" s="1125"/>
      <c r="AF23" s="1125"/>
      <c r="AG23" s="1125"/>
      <c r="AH23" s="1125"/>
      <c r="AI23" s="1125"/>
      <c r="AJ23" s="1125"/>
      <c r="AK23" s="1125"/>
      <c r="AL23" s="1125"/>
    </row>
    <row r="24" spans="1:38" s="1071" customFormat="1" ht="18" customHeight="1" x14ac:dyDescent="0.25">
      <c r="A24" s="3152" t="s">
        <v>0</v>
      </c>
      <c r="B24" s="3153"/>
      <c r="C24" s="3154"/>
      <c r="D24" s="3206" t="s">
        <v>444</v>
      </c>
      <c r="E24" s="3216" t="s">
        <v>490</v>
      </c>
      <c r="F24" s="3218" t="s">
        <v>445</v>
      </c>
      <c r="G24" s="3220" t="s">
        <v>446</v>
      </c>
      <c r="H24" s="3220"/>
      <c r="I24" s="3220"/>
      <c r="J24" s="3220"/>
      <c r="K24" s="3220"/>
      <c r="L24" s="3220"/>
      <c r="M24" s="3220"/>
      <c r="N24" s="3221"/>
      <c r="O24" s="1541" t="s">
        <v>489</v>
      </c>
      <c r="P24" s="1542"/>
      <c r="Q24" s="1542"/>
      <c r="R24" s="3210" t="s">
        <v>489</v>
      </c>
      <c r="S24" s="3210"/>
      <c r="T24" s="3210"/>
      <c r="U24" s="3211"/>
      <c r="V24" s="3204" t="s">
        <v>585</v>
      </c>
      <c r="W24" s="1548"/>
      <c r="X24" s="3202" t="s">
        <v>584</v>
      </c>
      <c r="Y24" s="1126"/>
      <c r="Z24" s="1126"/>
      <c r="AA24" s="1126"/>
      <c r="AB24" s="1126"/>
      <c r="AC24" s="1126"/>
      <c r="AD24" s="1126"/>
      <c r="AE24" s="1126"/>
      <c r="AF24" s="1126"/>
      <c r="AG24" s="1126"/>
      <c r="AH24" s="1126"/>
      <c r="AI24" s="1126"/>
      <c r="AJ24" s="1126"/>
      <c r="AK24" s="1126"/>
      <c r="AL24" s="1126"/>
    </row>
    <row r="25" spans="1:38" s="1075" customFormat="1" ht="37.5" customHeight="1" thickBot="1" x14ac:dyDescent="0.55000000000000004">
      <c r="A25" s="3155"/>
      <c r="B25" s="3156"/>
      <c r="C25" s="3157"/>
      <c r="D25" s="3207"/>
      <c r="E25" s="3217"/>
      <c r="F25" s="3219"/>
      <c r="G25" s="1444" t="s">
        <v>447</v>
      </c>
      <c r="H25" s="1445" t="s">
        <v>448</v>
      </c>
      <c r="I25" s="1445" t="s">
        <v>449</v>
      </c>
      <c r="J25" s="1445" t="s">
        <v>450</v>
      </c>
      <c r="K25" s="1528" t="s">
        <v>451</v>
      </c>
      <c r="L25" s="1528" t="s">
        <v>452</v>
      </c>
      <c r="M25" s="1446" t="s">
        <v>581</v>
      </c>
      <c r="N25" s="1447" t="s">
        <v>518</v>
      </c>
      <c r="O25" s="1448">
        <v>23833</v>
      </c>
      <c r="P25" s="1449" t="s">
        <v>501</v>
      </c>
      <c r="Q25" s="1449" t="s">
        <v>507</v>
      </c>
      <c r="R25" s="1449" t="s">
        <v>573</v>
      </c>
      <c r="S25" s="1450" t="s">
        <v>445</v>
      </c>
      <c r="T25" s="1451" t="s">
        <v>587</v>
      </c>
      <c r="U25" s="1452" t="s">
        <v>16</v>
      </c>
      <c r="V25" s="3205"/>
      <c r="W25" s="1523" t="s">
        <v>520</v>
      </c>
      <c r="X25" s="3203"/>
      <c r="Y25" s="1127"/>
      <c r="Z25" s="1127"/>
      <c r="AA25" s="1127"/>
      <c r="AB25" s="1127"/>
      <c r="AC25" s="1127"/>
      <c r="AD25" s="1127"/>
      <c r="AE25" s="1127"/>
      <c r="AF25" s="1127"/>
      <c r="AG25" s="1127"/>
      <c r="AH25" s="1127"/>
      <c r="AI25" s="1127"/>
      <c r="AJ25" s="1127"/>
      <c r="AK25" s="1127"/>
      <c r="AL25" s="1127"/>
    </row>
    <row r="26" spans="1:38" s="1071" customFormat="1" ht="15.75" x14ac:dyDescent="0.25">
      <c r="A26" s="1201" t="s">
        <v>454</v>
      </c>
      <c r="B26" s="1539"/>
      <c r="C26" s="1537"/>
      <c r="D26" s="1108">
        <f t="shared" ref="D26:M26" si="0">+D27+D33</f>
        <v>12948856.649999999</v>
      </c>
      <c r="E26" s="1108">
        <f t="shared" si="0"/>
        <v>3703046.88</v>
      </c>
      <c r="F26" s="1109">
        <f t="shared" si="0"/>
        <v>2561781.5499999998</v>
      </c>
      <c r="G26" s="1110">
        <f t="shared" si="0"/>
        <v>351920</v>
      </c>
      <c r="H26" s="1108">
        <f t="shared" si="0"/>
        <v>184077</v>
      </c>
      <c r="I26" s="1108">
        <f t="shared" si="0"/>
        <v>109077</v>
      </c>
      <c r="J26" s="1108">
        <f t="shared" si="0"/>
        <v>587617</v>
      </c>
      <c r="K26" s="1159">
        <f t="shared" si="0"/>
        <v>982726</v>
      </c>
      <c r="L26" s="1159">
        <f t="shared" si="0"/>
        <v>907693</v>
      </c>
      <c r="M26" s="1259">
        <f t="shared" si="0"/>
        <v>2343836</v>
      </c>
      <c r="N26" s="1111">
        <f>SUM(G26:L26)</f>
        <v>3123110</v>
      </c>
      <c r="O26" s="1441">
        <f>+O27+O33</f>
        <v>1168517</v>
      </c>
      <c r="P26" s="1441">
        <f>+P27+P33</f>
        <v>1420938.3599999999</v>
      </c>
      <c r="Q26" s="1441">
        <f>+Q27+Q33</f>
        <v>1193814</v>
      </c>
      <c r="R26" s="1441">
        <f>+R27+R33</f>
        <v>1262896.1499999999</v>
      </c>
      <c r="S26" s="1169"/>
      <c r="T26" s="1159">
        <f>+T27+T33</f>
        <v>8622301.5700000003</v>
      </c>
      <c r="U26" s="1218">
        <f>+U27+U33</f>
        <v>3119414.08</v>
      </c>
      <c r="V26" s="1153"/>
      <c r="W26" s="1524">
        <f>+W27+W33</f>
        <v>3783269.36</v>
      </c>
      <c r="X26" s="1153"/>
      <c r="Y26" s="1126"/>
      <c r="Z26" s="1126"/>
      <c r="AA26" s="1126"/>
      <c r="AB26" s="1126"/>
      <c r="AC26" s="1126"/>
      <c r="AD26" s="1126"/>
      <c r="AE26" s="1126"/>
      <c r="AF26" s="1126"/>
      <c r="AG26" s="1126"/>
      <c r="AH26" s="1126"/>
      <c r="AI26" s="1126"/>
      <c r="AJ26" s="1126"/>
      <c r="AK26" s="1126"/>
      <c r="AL26" s="1126"/>
    </row>
    <row r="27" spans="1:38" s="1071" customFormat="1" ht="15.75" x14ac:dyDescent="0.25">
      <c r="A27" s="1198"/>
      <c r="B27" s="1540" t="s">
        <v>455</v>
      </c>
      <c r="C27" s="1538"/>
      <c r="D27" s="1086">
        <f>SUM(D28:D32)</f>
        <v>8002555.3399999999</v>
      </c>
      <c r="E27" s="1086">
        <f>SUM(E28:E32)</f>
        <v>2138316.34</v>
      </c>
      <c r="F27" s="1087">
        <f t="shared" ref="F27:L27" si="1">SUM(F28:F32)</f>
        <v>81746.55</v>
      </c>
      <c r="G27" s="1088">
        <f t="shared" si="1"/>
        <v>105094</v>
      </c>
      <c r="H27" s="1086">
        <f t="shared" si="1"/>
        <v>102000</v>
      </c>
      <c r="I27" s="1086">
        <f t="shared" si="1"/>
        <v>102000</v>
      </c>
      <c r="J27" s="1086">
        <f t="shared" si="1"/>
        <v>102000</v>
      </c>
      <c r="K27" s="1155">
        <f t="shared" si="1"/>
        <v>102000</v>
      </c>
      <c r="L27" s="1155">
        <f t="shared" si="1"/>
        <v>212546</v>
      </c>
      <c r="M27" s="1259">
        <f>SUM(M28:M32)</f>
        <v>416546</v>
      </c>
      <c r="N27" s="1089">
        <f>SUM(N28:N32)</f>
        <v>725640</v>
      </c>
      <c r="O27" s="1437">
        <f t="shared" ref="O27:U27" si="2">SUM(O28:O32)</f>
        <v>825644</v>
      </c>
      <c r="P27" s="1155">
        <f t="shared" si="2"/>
        <v>821499.36</v>
      </c>
      <c r="Q27" s="1438">
        <f>SUM(Q28:Q32)</f>
        <v>811595</v>
      </c>
      <c r="R27" s="1438">
        <f>SUM(R28:R32)</f>
        <v>821570.15</v>
      </c>
      <c r="S27" s="1204">
        <f t="shared" si="2"/>
        <v>0</v>
      </c>
      <c r="T27" s="1155">
        <f>SUM(T28:T32)</f>
        <v>5418624.8499999996</v>
      </c>
      <c r="U27" s="1162">
        <f t="shared" si="2"/>
        <v>2583930.4900000002</v>
      </c>
      <c r="V27" s="1156"/>
      <c r="W27" s="1525">
        <f>SUM(W28:W32)</f>
        <v>2458738.36</v>
      </c>
      <c r="X27" s="1156"/>
      <c r="Y27" s="1126"/>
      <c r="Z27" s="1126"/>
      <c r="AA27" s="1126"/>
      <c r="AB27" s="1126"/>
      <c r="AC27" s="1126"/>
      <c r="AD27" s="1126"/>
      <c r="AE27" s="1126"/>
      <c r="AF27" s="1126"/>
      <c r="AG27" s="1126"/>
      <c r="AH27" s="1126"/>
      <c r="AI27" s="1126"/>
      <c r="AJ27" s="1126"/>
      <c r="AK27" s="1126"/>
      <c r="AL27" s="1126"/>
    </row>
    <row r="28" spans="1:38" s="1091" customFormat="1" ht="15.75" x14ac:dyDescent="0.25">
      <c r="A28" s="1199"/>
      <c r="B28" s="31"/>
      <c r="C28" s="1092" t="s">
        <v>456</v>
      </c>
      <c r="D28" s="1224">
        <v>6789250</v>
      </c>
      <c r="E28" s="1095">
        <v>1738750</v>
      </c>
      <c r="F28" s="1097">
        <f>+'3 จัดสรรเพื่อบริหาร'!D8</f>
        <v>0</v>
      </c>
      <c r="G28" s="1094"/>
      <c r="H28" s="1095"/>
      <c r="I28" s="1095"/>
      <c r="J28" s="1095"/>
      <c r="K28" s="38"/>
      <c r="L28" s="38"/>
      <c r="M28" s="1260">
        <f>+J28+K28+L28</f>
        <v>0</v>
      </c>
      <c r="N28" s="1096">
        <f>SUM(G28:L28)</f>
        <v>0</v>
      </c>
      <c r="O28" s="1439">
        <f>+'[3]1.รายการผูกพัน (สัญญาทั้งปี)'!$F$12</f>
        <v>721500</v>
      </c>
      <c r="P28" s="38">
        <v>721500</v>
      </c>
      <c r="Q28" s="38">
        <v>721500</v>
      </c>
      <c r="R28" s="38">
        <v>721500</v>
      </c>
      <c r="S28" s="207"/>
      <c r="T28" s="38">
        <f>+E28++O28+P28+Q28+R28</f>
        <v>4624750</v>
      </c>
      <c r="U28" s="1100">
        <f>+D28-T28</f>
        <v>2164500</v>
      </c>
      <c r="V28" s="1157"/>
      <c r="W28" s="1526">
        <f>+O28+P28+Q28</f>
        <v>2164500</v>
      </c>
      <c r="X28" s="1544"/>
      <c r="Y28" s="1173"/>
    </row>
    <row r="29" spans="1:38" s="1091" customFormat="1" ht="15.75" x14ac:dyDescent="0.25">
      <c r="A29" s="1199"/>
      <c r="B29" s="31"/>
      <c r="C29" s="1092" t="s">
        <v>77</v>
      </c>
      <c r="D29" s="1224">
        <v>10165</v>
      </c>
      <c r="E29" s="1095">
        <v>4066</v>
      </c>
      <c r="F29" s="1097">
        <f>+'3 จัดสรรเพื่อบริหาร'!D9</f>
        <v>13337.55</v>
      </c>
      <c r="G29" s="1094"/>
      <c r="H29" s="1095"/>
      <c r="I29" s="1095"/>
      <c r="J29" s="1095"/>
      <c r="K29" s="38"/>
      <c r="L29" s="38"/>
      <c r="M29" s="1260">
        <f>+J29+K29+L29</f>
        <v>0</v>
      </c>
      <c r="N29" s="1096">
        <f>SUM(G29:L29)</f>
        <v>0</v>
      </c>
      <c r="O29" s="1439"/>
      <c r="P29" s="38">
        <v>2033</v>
      </c>
      <c r="Q29" s="207"/>
      <c r="R29" s="207">
        <v>2033</v>
      </c>
      <c r="S29" s="207"/>
      <c r="T29" s="38">
        <f>+E29++O29+P29+Q29+R29</f>
        <v>8132</v>
      </c>
      <c r="U29" s="1100">
        <f>+D29-T29</f>
        <v>2033</v>
      </c>
      <c r="V29" s="1157"/>
      <c r="W29" s="1526">
        <f>+O29+P29+Q29</f>
        <v>2033</v>
      </c>
      <c r="X29" s="1544"/>
      <c r="Y29" s="1173"/>
    </row>
    <row r="30" spans="1:38" s="1091" customFormat="1" ht="15.75" x14ac:dyDescent="0.25">
      <c r="A30" s="1199"/>
      <c r="B30" s="31"/>
      <c r="C30" s="1092" t="s">
        <v>78</v>
      </c>
      <c r="D30" s="1224">
        <f>82000*12</f>
        <v>984000</v>
      </c>
      <c r="E30" s="1095">
        <v>328000</v>
      </c>
      <c r="F30" s="1097">
        <f>+'3 จัดสรรเพื่อบริหาร'!D10</f>
        <v>0</v>
      </c>
      <c r="G30" s="1094">
        <v>82000</v>
      </c>
      <c r="H30" s="1095">
        <v>82000</v>
      </c>
      <c r="I30" s="1095">
        <v>82000</v>
      </c>
      <c r="J30" s="1095">
        <v>82000</v>
      </c>
      <c r="K30" s="38">
        <v>82000</v>
      </c>
      <c r="L30" s="38">
        <f>82000+82000</f>
        <v>164000</v>
      </c>
      <c r="M30" s="1260">
        <f>+J30+K30+L30</f>
        <v>328000</v>
      </c>
      <c r="N30" s="1096">
        <f>SUM(G30:L30)</f>
        <v>574000</v>
      </c>
      <c r="O30" s="1439">
        <v>82000</v>
      </c>
      <c r="P30" s="38">
        <v>82000</v>
      </c>
      <c r="Q30" s="207">
        <v>82000</v>
      </c>
      <c r="R30" s="207">
        <v>82000</v>
      </c>
      <c r="S30" s="207"/>
      <c r="T30" s="38">
        <f>+E30++O30+P30+Q30+R30</f>
        <v>656000</v>
      </c>
      <c r="U30" s="1100">
        <f>+D30-T30</f>
        <v>328000</v>
      </c>
      <c r="V30" s="1157"/>
      <c r="W30" s="1526">
        <f>+O30+P30+Q30</f>
        <v>246000</v>
      </c>
      <c r="X30" s="1544"/>
    </row>
    <row r="31" spans="1:38" s="1091" customFormat="1" ht="15" customHeight="1" x14ac:dyDescent="0.25">
      <c r="A31" s="1199"/>
      <c r="B31" s="31"/>
      <c r="C31" s="1092" t="s">
        <v>79</v>
      </c>
      <c r="D31" s="1224">
        <f>+E31+N31</f>
        <v>165510.34</v>
      </c>
      <c r="E31" s="1095">
        <f>45510.34</f>
        <v>45510.34</v>
      </c>
      <c r="F31" s="1097">
        <f>+'3 จัดสรรเพื่อบริหาร'!D11</f>
        <v>0</v>
      </c>
      <c r="G31" s="1094">
        <v>18094</v>
      </c>
      <c r="H31" s="1095">
        <v>15000</v>
      </c>
      <c r="I31" s="1095">
        <v>15000</v>
      </c>
      <c r="J31" s="1095">
        <v>15000</v>
      </c>
      <c r="K31" s="38">
        <v>15000</v>
      </c>
      <c r="L31" s="38">
        <f>15000+15000+11906</f>
        <v>41906</v>
      </c>
      <c r="M31" s="1260">
        <f>+J31+K31+L31</f>
        <v>71906</v>
      </c>
      <c r="N31" s="1096">
        <f>SUM(G31:L31)</f>
        <v>120000</v>
      </c>
      <c r="O31" s="1439">
        <v>18094</v>
      </c>
      <c r="P31" s="38">
        <v>13266.36</v>
      </c>
      <c r="Q31" s="207">
        <v>8095</v>
      </c>
      <c r="R31" s="207">
        <v>8387.15</v>
      </c>
      <c r="S31" s="207"/>
      <c r="T31" s="38">
        <f>+E31++O31+P31+Q31+R31</f>
        <v>93352.849999999991</v>
      </c>
      <c r="U31" s="1100">
        <f>+D31-T31</f>
        <v>72157.490000000005</v>
      </c>
      <c r="V31" s="1157"/>
      <c r="W31" s="1526">
        <f>+O31+P31+Q31</f>
        <v>39455.360000000001</v>
      </c>
      <c r="X31" s="1545">
        <f t="shared" ref="X31:X38" si="3">+T31+F31</f>
        <v>93352.849999999991</v>
      </c>
      <c r="Y31" s="1173"/>
    </row>
    <row r="32" spans="1:38" s="1091" customFormat="1" ht="15.75" x14ac:dyDescent="0.25">
      <c r="A32" s="1199"/>
      <c r="B32" s="31"/>
      <c r="C32" s="1092" t="s">
        <v>80</v>
      </c>
      <c r="D32" s="1224">
        <f>+E32+N32</f>
        <v>53630</v>
      </c>
      <c r="E32" s="1095">
        <f>18630+3360</f>
        <v>21990</v>
      </c>
      <c r="F32" s="1097">
        <f>+'3 จัดสรรเพื่อบริหาร'!D12</f>
        <v>68409</v>
      </c>
      <c r="G32" s="1094">
        <v>5000</v>
      </c>
      <c r="H32" s="1095">
        <v>5000</v>
      </c>
      <c r="I32" s="1095">
        <v>5000</v>
      </c>
      <c r="J32" s="1095">
        <v>5000</v>
      </c>
      <c r="K32" s="38">
        <v>5000</v>
      </c>
      <c r="L32" s="38">
        <f>5000+5000-3360</f>
        <v>6640</v>
      </c>
      <c r="M32" s="1260">
        <f>+J32+K32+L32</f>
        <v>16640</v>
      </c>
      <c r="N32" s="1096">
        <f>SUM(G32:L32)</f>
        <v>31640</v>
      </c>
      <c r="O32" s="1439">
        <v>4050</v>
      </c>
      <c r="P32" s="38">
        <v>2700</v>
      </c>
      <c r="Q32" s="207"/>
      <c r="R32" s="207">
        <f>4950+2700</f>
        <v>7650</v>
      </c>
      <c r="S32" s="207"/>
      <c r="T32" s="38">
        <f>+E32++O32+P32+Q32+R32</f>
        <v>36390</v>
      </c>
      <c r="U32" s="1100">
        <f>+D32-T32</f>
        <v>17240</v>
      </c>
      <c r="V32" s="1157"/>
      <c r="W32" s="1526">
        <f>+O32+P32+Q32</f>
        <v>6750</v>
      </c>
      <c r="X32" s="1545">
        <f t="shared" si="3"/>
        <v>104799</v>
      </c>
      <c r="Y32" s="1173"/>
    </row>
    <row r="33" spans="1:38" s="1071" customFormat="1" ht="15.75" x14ac:dyDescent="0.25">
      <c r="A33" s="1198"/>
      <c r="B33" s="1540" t="s">
        <v>457</v>
      </c>
      <c r="C33" s="1538"/>
      <c r="D33" s="1086">
        <f t="shared" ref="D33:M33" si="4">SUM(D34:D40)</f>
        <v>4946301.3099999996</v>
      </c>
      <c r="E33" s="1086">
        <f t="shared" si="4"/>
        <v>1564730.54</v>
      </c>
      <c r="F33" s="1087">
        <f t="shared" si="4"/>
        <v>2480035</v>
      </c>
      <c r="G33" s="1088">
        <f t="shared" si="4"/>
        <v>246826</v>
      </c>
      <c r="H33" s="1086">
        <f t="shared" si="4"/>
        <v>82077</v>
      </c>
      <c r="I33" s="1086">
        <f t="shared" si="4"/>
        <v>7077</v>
      </c>
      <c r="J33" s="1086">
        <f t="shared" si="4"/>
        <v>485617</v>
      </c>
      <c r="K33" s="1155">
        <f t="shared" si="4"/>
        <v>880726</v>
      </c>
      <c r="L33" s="1155">
        <f t="shared" si="4"/>
        <v>695147</v>
      </c>
      <c r="M33" s="1259">
        <f t="shared" si="4"/>
        <v>1927290</v>
      </c>
      <c r="N33" s="1089">
        <f>SUM(N34:N40)</f>
        <v>2397470</v>
      </c>
      <c r="O33" s="1437">
        <f>SUM(O34:O40)</f>
        <v>342873</v>
      </c>
      <c r="P33" s="1155">
        <f>SUM(P34:P40)</f>
        <v>599439</v>
      </c>
      <c r="Q33" s="1204">
        <f>SUM(Q34:Q40)</f>
        <v>382219</v>
      </c>
      <c r="R33" s="1204">
        <f>SUM(R34:R40)</f>
        <v>441326</v>
      </c>
      <c r="S33" s="1204">
        <f>SUM(S34:S38)</f>
        <v>0</v>
      </c>
      <c r="T33" s="1155">
        <f>SUM(T34:T40)</f>
        <v>3203676.72</v>
      </c>
      <c r="U33" s="1162">
        <f>SUM(U34:U40)</f>
        <v>535483.59</v>
      </c>
      <c r="V33" s="1156"/>
      <c r="W33" s="1525">
        <f>SUM(W34:W40)</f>
        <v>1324531</v>
      </c>
      <c r="X33" s="1156"/>
      <c r="Y33" s="1167"/>
      <c r="Z33" s="1126"/>
      <c r="AA33" s="1126"/>
      <c r="AB33" s="1126"/>
      <c r="AC33" s="1126"/>
      <c r="AD33" s="1126"/>
      <c r="AE33" s="1126"/>
      <c r="AF33" s="1126"/>
      <c r="AG33" s="1126"/>
      <c r="AH33" s="1126"/>
      <c r="AI33" s="1126"/>
      <c r="AJ33" s="1126"/>
      <c r="AK33" s="1126"/>
      <c r="AL33" s="1126"/>
    </row>
    <row r="34" spans="1:38" s="1091" customFormat="1" ht="15.75" x14ac:dyDescent="0.25">
      <c r="A34" s="1199"/>
      <c r="B34" s="31"/>
      <c r="C34" s="1092" t="s">
        <v>42</v>
      </c>
      <c r="D34" s="1224">
        <f>2892520+1500</f>
        <v>2894020</v>
      </c>
      <c r="E34" s="1095">
        <f>1148000</f>
        <v>1148000</v>
      </c>
      <c r="F34" s="1097">
        <f>+'3 จัดสรรเพื่อบริหาร'!D15</f>
        <v>796000</v>
      </c>
      <c r="G34" s="1094"/>
      <c r="H34" s="1095"/>
      <c r="I34" s="1095"/>
      <c r="J34" s="1095">
        <v>255420</v>
      </c>
      <c r="K34" s="38">
        <v>255420</v>
      </c>
      <c r="L34" s="38">
        <f>255420*2</f>
        <v>510840</v>
      </c>
      <c r="M34" s="1260">
        <f>SUM(J34:L34)</f>
        <v>1021680</v>
      </c>
      <c r="N34" s="1096">
        <f t="shared" ref="N34:N40" si="5">SUM(G34:L34)</f>
        <v>1021680</v>
      </c>
      <c r="O34" s="1439">
        <v>212000</v>
      </c>
      <c r="P34" s="38">
        <v>255420</v>
      </c>
      <c r="Q34" s="207">
        <v>255420</v>
      </c>
      <c r="R34" s="207">
        <v>255420</v>
      </c>
      <c r="S34" s="207"/>
      <c r="T34" s="38">
        <f t="shared" ref="T34:T40" si="6">+O34+E34+P34+Q34+R34</f>
        <v>2126260</v>
      </c>
      <c r="U34" s="1100">
        <f>+D34-T34</f>
        <v>767760</v>
      </c>
      <c r="V34" s="1157"/>
      <c r="W34" s="1526">
        <f t="shared" ref="W34:W40" si="7">+O34+P34+Q34</f>
        <v>722840</v>
      </c>
      <c r="X34" s="1545">
        <f t="shared" si="3"/>
        <v>2922260</v>
      </c>
      <c r="Y34" s="1173"/>
      <c r="Z34" s="1173">
        <f>+T35+F35</f>
        <v>692814</v>
      </c>
    </row>
    <row r="35" spans="1:38" s="1091" customFormat="1" ht="15.75" x14ac:dyDescent="0.25">
      <c r="A35" s="1199"/>
      <c r="B35" s="31"/>
      <c r="C35" s="1005" t="s">
        <v>59</v>
      </c>
      <c r="D35" s="1224">
        <v>580200</v>
      </c>
      <c r="E35" s="1175">
        <v>225000</v>
      </c>
      <c r="F35" s="1176">
        <f>+'3 จัดสรรเพื่อบริหาร'!D16</f>
        <v>267714</v>
      </c>
      <c r="G35" s="1094"/>
      <c r="H35" s="1095"/>
      <c r="I35" s="1095"/>
      <c r="J35" s="1095">
        <v>50740</v>
      </c>
      <c r="K35" s="38">
        <v>50740</v>
      </c>
      <c r="L35" s="38">
        <f>50740*2</f>
        <v>101480</v>
      </c>
      <c r="M35" s="1260">
        <f>SUM(J35:L35)</f>
        <v>202960</v>
      </c>
      <c r="N35" s="1096">
        <f t="shared" si="5"/>
        <v>202960</v>
      </c>
      <c r="O35" s="1439">
        <v>45000</v>
      </c>
      <c r="P35" s="38">
        <v>51700</v>
      </c>
      <c r="Q35" s="207">
        <v>51700</v>
      </c>
      <c r="R35" s="207">
        <v>51700</v>
      </c>
      <c r="S35" s="207"/>
      <c r="T35" s="38">
        <f t="shared" si="6"/>
        <v>425100</v>
      </c>
      <c r="U35" s="1100">
        <f>+D35-T35</f>
        <v>155100</v>
      </c>
      <c r="V35" s="1157"/>
      <c r="W35" s="1526">
        <f t="shared" si="7"/>
        <v>148400</v>
      </c>
      <c r="X35" s="1545">
        <f t="shared" si="3"/>
        <v>692814</v>
      </c>
      <c r="Y35" s="1173">
        <f>+U35+F35</f>
        <v>422814</v>
      </c>
    </row>
    <row r="36" spans="1:38" s="1091" customFormat="1" ht="15.75" x14ac:dyDescent="0.25">
      <c r="A36" s="1199"/>
      <c r="B36" s="31"/>
      <c r="C36" s="1092" t="s">
        <v>60</v>
      </c>
      <c r="D36" s="1224">
        <v>446640</v>
      </c>
      <c r="E36" s="1095">
        <v>180000</v>
      </c>
      <c r="F36" s="1097">
        <f>+'3 จัดสรรเพื่อบริหาร'!D17</f>
        <v>166000</v>
      </c>
      <c r="G36" s="1094"/>
      <c r="H36" s="1095"/>
      <c r="I36" s="1095"/>
      <c r="J36" s="1095">
        <v>38180</v>
      </c>
      <c r="K36" s="38">
        <v>38180</v>
      </c>
      <c r="L36" s="38">
        <f>(38180*2)-620</f>
        <v>75740</v>
      </c>
      <c r="M36" s="1260">
        <f>SUM(J36:L36)</f>
        <v>152100</v>
      </c>
      <c r="N36" s="1096">
        <f t="shared" si="5"/>
        <v>152100</v>
      </c>
      <c r="O36" s="1439">
        <v>36000</v>
      </c>
      <c r="P36" s="38">
        <v>38860</v>
      </c>
      <c r="Q36" s="207">
        <v>37859</v>
      </c>
      <c r="R36" s="207">
        <v>38480</v>
      </c>
      <c r="S36" s="207"/>
      <c r="T36" s="38">
        <f t="shared" si="6"/>
        <v>331199</v>
      </c>
      <c r="U36" s="1100">
        <f>+D36-T36</f>
        <v>115441</v>
      </c>
      <c r="V36" s="1157"/>
      <c r="W36" s="1526">
        <f t="shared" si="7"/>
        <v>112719</v>
      </c>
      <c r="X36" s="1545">
        <f t="shared" si="3"/>
        <v>497199</v>
      </c>
      <c r="Y36" s="1173">
        <f>+M35-Y35</f>
        <v>-219854</v>
      </c>
    </row>
    <row r="37" spans="1:38" s="1091" customFormat="1" ht="15.75" x14ac:dyDescent="0.25">
      <c r="A37" s="1199"/>
      <c r="B37" s="31"/>
      <c r="C37" s="1092" t="s">
        <v>327</v>
      </c>
      <c r="D37" s="1224">
        <f>14000-12000</f>
        <v>2000</v>
      </c>
      <c r="E37" s="1095">
        <v>215</v>
      </c>
      <c r="F37" s="1097">
        <f>+'3 จัดสรรเพื่อบริหาร'!D21</f>
        <v>0</v>
      </c>
      <c r="G37" s="1094"/>
      <c r="H37" s="1095">
        <v>2757</v>
      </c>
      <c r="I37" s="1095">
        <v>2757</v>
      </c>
      <c r="J37" s="1095">
        <v>2757</v>
      </c>
      <c r="K37" s="38">
        <v>2757</v>
      </c>
      <c r="L37" s="38">
        <v>2757</v>
      </c>
      <c r="M37" s="1260">
        <f>SUM(J37:L37)</f>
        <v>8271</v>
      </c>
      <c r="N37" s="1096">
        <f t="shared" si="5"/>
        <v>13785</v>
      </c>
      <c r="O37" s="1439"/>
      <c r="P37" s="38"/>
      <c r="Q37" s="207">
        <v>100</v>
      </c>
      <c r="R37" s="207"/>
      <c r="S37" s="207"/>
      <c r="T37" s="38">
        <f t="shared" si="6"/>
        <v>315</v>
      </c>
      <c r="U37" s="1100">
        <f>+D37-T37</f>
        <v>1685</v>
      </c>
      <c r="V37" s="1157"/>
      <c r="W37" s="1526">
        <f t="shared" si="7"/>
        <v>100</v>
      </c>
      <c r="X37" s="1545">
        <f t="shared" si="3"/>
        <v>315</v>
      </c>
    </row>
    <row r="38" spans="1:38" s="1091" customFormat="1" ht="15.75" x14ac:dyDescent="0.25">
      <c r="A38" s="1199"/>
      <c r="B38" s="31"/>
      <c r="C38" s="1092" t="s">
        <v>328</v>
      </c>
      <c r="D38" s="1224">
        <v>32000</v>
      </c>
      <c r="E38" s="1095">
        <v>6070</v>
      </c>
      <c r="F38" s="1097">
        <f>+'3 จัดสรรเพื่อบริหาร'!D22</f>
        <v>43180</v>
      </c>
      <c r="G38" s="1094">
        <v>4320</v>
      </c>
      <c r="H38" s="1095">
        <v>4320</v>
      </c>
      <c r="I38" s="1095">
        <v>4320</v>
      </c>
      <c r="J38" s="1095">
        <v>4320</v>
      </c>
      <c r="K38" s="38">
        <v>4320</v>
      </c>
      <c r="L38" s="38">
        <f>4320+10</f>
        <v>4330</v>
      </c>
      <c r="M38" s="1260">
        <f>SUM(J38:L38)</f>
        <v>12970</v>
      </c>
      <c r="N38" s="1096">
        <f t="shared" si="5"/>
        <v>25930</v>
      </c>
      <c r="O38" s="1439"/>
      <c r="P38" s="38">
        <v>4800</v>
      </c>
      <c r="Q38" s="207">
        <v>3140</v>
      </c>
      <c r="R38" s="207">
        <f>3140+160</f>
        <v>3300</v>
      </c>
      <c r="S38" s="207"/>
      <c r="T38" s="38">
        <f t="shared" si="6"/>
        <v>17310</v>
      </c>
      <c r="U38" s="1100">
        <f>+D38-T38</f>
        <v>14690</v>
      </c>
      <c r="V38" s="1157"/>
      <c r="W38" s="1526">
        <f t="shared" si="7"/>
        <v>7940</v>
      </c>
      <c r="X38" s="1545">
        <f t="shared" si="3"/>
        <v>60490</v>
      </c>
    </row>
    <row r="39" spans="1:38" s="31" customFormat="1" ht="15.75" x14ac:dyDescent="0.25">
      <c r="A39" s="1454" t="s">
        <v>458</v>
      </c>
      <c r="C39" s="1104" t="s">
        <v>486</v>
      </c>
      <c r="D39" s="38">
        <f>296000-71028+66900</f>
        <v>291872</v>
      </c>
      <c r="E39" s="38">
        <v>5445.54</v>
      </c>
      <c r="F39" s="1098">
        <f>+'2 จัดสรรให้ส่วนฝ่าย'!D13</f>
        <v>20972</v>
      </c>
      <c r="G39" s="1099">
        <v>60000</v>
      </c>
      <c r="H39" s="38">
        <f>5000+70000</f>
        <v>75000</v>
      </c>
      <c r="I39" s="38"/>
      <c r="J39" s="38">
        <v>58500</v>
      </c>
      <c r="K39" s="75">
        <v>91600</v>
      </c>
      <c r="L39" s="38"/>
      <c r="M39" s="1604">
        <f>SUM(K39:L39)</f>
        <v>91600</v>
      </c>
      <c r="N39" s="1100">
        <f>SUM(G39:L39)</f>
        <v>285100</v>
      </c>
      <c r="O39" s="1439">
        <v>49873</v>
      </c>
      <c r="P39" s="38">
        <v>66153</v>
      </c>
      <c r="Q39" s="207"/>
      <c r="R39" s="207">
        <v>92426</v>
      </c>
      <c r="S39" s="207"/>
      <c r="T39" s="38">
        <f>+'2 จัดสรรให้ส่วนฝ่าย'!E13</f>
        <v>86986.72</v>
      </c>
      <c r="U39" s="1100">
        <f>+D39-T39-F39</f>
        <v>183913.28</v>
      </c>
      <c r="V39" s="1533">
        <f>+U39-M39</f>
        <v>92313.279999999999</v>
      </c>
      <c r="W39" s="1526">
        <f t="shared" si="7"/>
        <v>116026</v>
      </c>
      <c r="X39" s="1132">
        <f>20000+75000</f>
        <v>95000</v>
      </c>
    </row>
    <row r="40" spans="1:38" s="1091" customFormat="1" ht="15.75" x14ac:dyDescent="0.25">
      <c r="A40" s="1200" t="s">
        <v>458</v>
      </c>
      <c r="B40" s="31"/>
      <c r="C40" s="1104" t="s">
        <v>487</v>
      </c>
      <c r="D40" s="38">
        <f>30206.1+152300+402709+264.21+34000+80090</f>
        <v>699569.30999999994</v>
      </c>
      <c r="E40" s="38"/>
      <c r="F40" s="1098">
        <f>+'[3]2.รายการ คชจ.ส่วนกลาง'!$AN$3</f>
        <v>1186169</v>
      </c>
      <c r="G40" s="1094">
        <f>30206+152300</f>
        <v>182506</v>
      </c>
      <c r="H40" s="1095"/>
      <c r="I40" s="1095"/>
      <c r="J40" s="1434">
        <f>24000+51700</f>
        <v>75700</v>
      </c>
      <c r="K40" s="75">
        <f>35000+402709</f>
        <v>437709</v>
      </c>
      <c r="L40" s="38"/>
      <c r="M40" s="1260">
        <f>SUM(K40:L40)</f>
        <v>437709</v>
      </c>
      <c r="N40" s="1096">
        <f t="shared" si="5"/>
        <v>695915</v>
      </c>
      <c r="O40" s="1439"/>
      <c r="P40" s="38">
        <v>182506</v>
      </c>
      <c r="Q40" s="207">
        <v>34000</v>
      </c>
      <c r="R40" s="207"/>
      <c r="S40" s="207"/>
      <c r="T40" s="38">
        <f t="shared" si="6"/>
        <v>216506</v>
      </c>
      <c r="U40" s="1429">
        <f>+D40-T40-F40</f>
        <v>-703105.69000000006</v>
      </c>
      <c r="V40" s="1533">
        <f>+U40-M40</f>
        <v>-1140814.69</v>
      </c>
      <c r="W40" s="1526">
        <f t="shared" si="7"/>
        <v>216506</v>
      </c>
      <c r="X40" s="1546">
        <v>437709</v>
      </c>
      <c r="Y40" s="31"/>
      <c r="Z40" s="31"/>
      <c r="AA40" s="1128"/>
      <c r="AB40" s="1128"/>
      <c r="AC40" s="1128"/>
      <c r="AD40" s="1128"/>
      <c r="AE40" s="1128"/>
      <c r="AF40" s="1128"/>
      <c r="AG40" s="1128"/>
      <c r="AH40" s="1128"/>
      <c r="AI40" s="1128"/>
      <c r="AJ40" s="1128"/>
      <c r="AK40" s="1128"/>
      <c r="AL40" s="1128"/>
    </row>
    <row r="41" spans="1:38" s="1071" customFormat="1" ht="15.75" x14ac:dyDescent="0.25">
      <c r="A41" s="1201" t="s">
        <v>459</v>
      </c>
      <c r="B41" s="1539"/>
      <c r="C41" s="1537"/>
      <c r="D41" s="1108">
        <f t="shared" ref="D41:M41" si="8">SUM(D42:D48)</f>
        <v>5161158.76</v>
      </c>
      <c r="E41" s="1108">
        <f t="shared" si="8"/>
        <v>1796665.69</v>
      </c>
      <c r="F41" s="1109">
        <f t="shared" si="8"/>
        <v>0</v>
      </c>
      <c r="G41" s="1110">
        <f t="shared" si="8"/>
        <v>107326</v>
      </c>
      <c r="H41" s="1108">
        <f t="shared" si="8"/>
        <v>107315</v>
      </c>
      <c r="I41" s="1108">
        <f t="shared" si="8"/>
        <v>107315</v>
      </c>
      <c r="J41" s="1108">
        <f t="shared" si="8"/>
        <v>107315</v>
      </c>
      <c r="K41" s="1159">
        <f t="shared" si="8"/>
        <v>107315</v>
      </c>
      <c r="L41" s="1159">
        <f t="shared" si="8"/>
        <v>214647</v>
      </c>
      <c r="M41" s="1534">
        <f t="shared" si="8"/>
        <v>429277</v>
      </c>
      <c r="N41" s="1111">
        <f>SUM(N42:N48)</f>
        <v>751233</v>
      </c>
      <c r="O41" s="1440">
        <f>SUM(O42:O48)</f>
        <v>456911.38</v>
      </c>
      <c r="P41" s="1441">
        <f>SUM(P42:P48)</f>
        <v>462755.26999999996</v>
      </c>
      <c r="Q41" s="1441">
        <f>SUM(Q42:Q48)</f>
        <v>448102</v>
      </c>
      <c r="R41" s="1441">
        <f>SUM(R42:R48)</f>
        <v>464582</v>
      </c>
      <c r="S41" s="1206"/>
      <c r="T41" s="1159">
        <f>SUM(T42:T48)</f>
        <v>3629016.34</v>
      </c>
      <c r="U41" s="1218">
        <f>SUM(U42:U48)</f>
        <v>1532142.4200000002</v>
      </c>
      <c r="V41" s="1153"/>
      <c r="W41" s="1524">
        <f>SUM(W42:W48)</f>
        <v>1367768.65</v>
      </c>
      <c r="X41" s="1153"/>
      <c r="Y41" s="555"/>
      <c r="Z41" s="661">
        <f>+D51+D39</f>
        <v>1959802</v>
      </c>
      <c r="AA41" s="1126"/>
      <c r="AB41" s="1126"/>
      <c r="AC41" s="1126"/>
      <c r="AD41" s="1126"/>
      <c r="AE41" s="1126"/>
      <c r="AF41" s="1126"/>
      <c r="AG41" s="1126"/>
      <c r="AH41" s="1126"/>
      <c r="AI41" s="1126"/>
      <c r="AJ41" s="1126"/>
      <c r="AK41" s="1126"/>
      <c r="AL41" s="1126"/>
    </row>
    <row r="42" spans="1:38" s="1091" customFormat="1" ht="15.75" x14ac:dyDescent="0.25">
      <c r="A42" s="1199"/>
      <c r="B42" s="31" t="s">
        <v>460</v>
      </c>
      <c r="C42" s="1092"/>
      <c r="D42" s="1224">
        <v>855700</v>
      </c>
      <c r="E42" s="1095">
        <v>328309.27999999997</v>
      </c>
      <c r="F42" s="1097">
        <f>+'3 จัดสรรเพื่อบริหาร'!D29</f>
        <v>0</v>
      </c>
      <c r="G42" s="1094">
        <v>75340</v>
      </c>
      <c r="H42" s="1095">
        <v>75340</v>
      </c>
      <c r="I42" s="1095">
        <v>75340</v>
      </c>
      <c r="J42" s="1095">
        <v>75340</v>
      </c>
      <c r="K42" s="38">
        <v>75340</v>
      </c>
      <c r="L42" s="38">
        <f>75340+75351</f>
        <v>150691</v>
      </c>
      <c r="M42" s="1260">
        <f>SUM(J42:L42)</f>
        <v>301371</v>
      </c>
      <c r="N42" s="1096">
        <f t="shared" ref="N42:N48" si="9">SUM(G42:L42)</f>
        <v>527391</v>
      </c>
      <c r="O42" s="1439">
        <v>67917.899999999994</v>
      </c>
      <c r="P42" s="38">
        <v>61809.67</v>
      </c>
      <c r="Q42" s="207">
        <v>63627</v>
      </c>
      <c r="R42" s="207">
        <v>76367</v>
      </c>
      <c r="S42" s="207"/>
      <c r="T42" s="38">
        <f t="shared" ref="T42:T48" si="10">+O42+E42+P42+Q42+R42</f>
        <v>598030.84999999986</v>
      </c>
      <c r="U42" s="1100">
        <f t="shared" ref="U42:U48" si="11">+D42-T42</f>
        <v>257669.15000000014</v>
      </c>
      <c r="V42" s="1157"/>
      <c r="W42" s="1526">
        <f t="shared" ref="W42:W48" si="12">+O42+P42+Q42</f>
        <v>193354.57</v>
      </c>
      <c r="X42" s="1547"/>
      <c r="Y42" s="31"/>
      <c r="Z42" s="31"/>
    </row>
    <row r="43" spans="1:38" s="1091" customFormat="1" ht="15.75" x14ac:dyDescent="0.25">
      <c r="A43" s="1199"/>
      <c r="B43" s="31" t="s">
        <v>461</v>
      </c>
      <c r="C43" s="1092"/>
      <c r="D43" s="1224">
        <v>49000</v>
      </c>
      <c r="E43" s="1095">
        <v>20232.350000000002</v>
      </c>
      <c r="F43" s="1097">
        <f>+'3 จัดสรรเพื่อบริหาร'!D30</f>
        <v>0</v>
      </c>
      <c r="G43" s="1094">
        <v>4110</v>
      </c>
      <c r="H43" s="1095">
        <v>4110</v>
      </c>
      <c r="I43" s="1095">
        <v>4110</v>
      </c>
      <c r="J43" s="1095">
        <v>4110</v>
      </c>
      <c r="K43" s="38">
        <v>4110</v>
      </c>
      <c r="L43" s="38">
        <f>4110+4108</f>
        <v>8218</v>
      </c>
      <c r="M43" s="1260">
        <f t="shared" ref="M43:M48" si="13">SUM(J43:L43)</f>
        <v>16438</v>
      </c>
      <c r="N43" s="1096">
        <f t="shared" si="9"/>
        <v>28768</v>
      </c>
      <c r="O43" s="1439">
        <v>3346</v>
      </c>
      <c r="P43" s="38">
        <v>6702</v>
      </c>
      <c r="Q43" s="207"/>
      <c r="R43" s="207">
        <v>3337</v>
      </c>
      <c r="S43" s="207"/>
      <c r="T43" s="38">
        <f t="shared" si="10"/>
        <v>33617.350000000006</v>
      </c>
      <c r="U43" s="1100">
        <f t="shared" si="11"/>
        <v>15382.649999999994</v>
      </c>
      <c r="V43" s="1157"/>
      <c r="W43" s="1526">
        <f t="shared" si="12"/>
        <v>10048</v>
      </c>
      <c r="X43" s="1547"/>
      <c r="Y43" s="31"/>
      <c r="Z43" s="31"/>
    </row>
    <row r="44" spans="1:38" s="1091" customFormat="1" ht="15.75" x14ac:dyDescent="0.25">
      <c r="A44" s="1199"/>
      <c r="B44" s="31" t="s">
        <v>462</v>
      </c>
      <c r="C44" s="1092"/>
      <c r="D44" s="1224">
        <v>122254</v>
      </c>
      <c r="E44" s="1095">
        <v>19840.61</v>
      </c>
      <c r="F44" s="1097">
        <f>+'3 จัดสรรเพื่อบริหาร'!D31</f>
        <v>0</v>
      </c>
      <c r="G44" s="1094">
        <v>14630</v>
      </c>
      <c r="H44" s="1095">
        <v>14630</v>
      </c>
      <c r="I44" s="1095">
        <v>14630</v>
      </c>
      <c r="J44" s="1095">
        <v>14630</v>
      </c>
      <c r="K44" s="38">
        <v>14630</v>
      </c>
      <c r="L44" s="38">
        <f>14630+14633</f>
        <v>29263</v>
      </c>
      <c r="M44" s="1260">
        <f t="shared" si="13"/>
        <v>58523</v>
      </c>
      <c r="N44" s="1096">
        <f t="shared" si="9"/>
        <v>102413</v>
      </c>
      <c r="O44" s="1439">
        <v>3951</v>
      </c>
      <c r="P44" s="38">
        <v>3970.19</v>
      </c>
      <c r="Q44" s="75">
        <v>3810</v>
      </c>
      <c r="R44" s="75">
        <v>3916</v>
      </c>
      <c r="S44" s="207"/>
      <c r="T44" s="38">
        <f t="shared" si="10"/>
        <v>35487.800000000003</v>
      </c>
      <c r="U44" s="1100">
        <f t="shared" si="11"/>
        <v>86766.2</v>
      </c>
      <c r="V44" s="1157"/>
      <c r="W44" s="1526">
        <f t="shared" si="12"/>
        <v>11731.19</v>
      </c>
      <c r="X44" s="1547"/>
      <c r="Y44" s="31"/>
      <c r="Z44" s="31"/>
    </row>
    <row r="45" spans="1:38" s="1091" customFormat="1" ht="15.75" x14ac:dyDescent="0.25">
      <c r="A45" s="1199"/>
      <c r="B45" s="31" t="s">
        <v>463</v>
      </c>
      <c r="C45" s="1092"/>
      <c r="D45" s="1224">
        <v>49000</v>
      </c>
      <c r="E45" s="1095">
        <v>9684</v>
      </c>
      <c r="F45" s="1097">
        <f>+'3 จัดสรรเพื่อบริหาร'!D32</f>
        <v>0</v>
      </c>
      <c r="G45" s="1094">
        <f>5615+11</f>
        <v>5626</v>
      </c>
      <c r="H45" s="1095">
        <v>5615</v>
      </c>
      <c r="I45" s="1095">
        <v>5615</v>
      </c>
      <c r="J45" s="1095">
        <v>5615</v>
      </c>
      <c r="K45" s="38">
        <v>5615</v>
      </c>
      <c r="L45" s="38">
        <f>5615+5615</f>
        <v>11230</v>
      </c>
      <c r="M45" s="1260">
        <f t="shared" si="13"/>
        <v>22460</v>
      </c>
      <c r="N45" s="1096">
        <f t="shared" si="9"/>
        <v>39316</v>
      </c>
      <c r="O45" s="1439">
        <v>1027</v>
      </c>
      <c r="P45" s="38">
        <v>9612</v>
      </c>
      <c r="Q45" s="207"/>
      <c r="R45" s="207">
        <v>1049</v>
      </c>
      <c r="S45" s="207"/>
      <c r="T45" s="38">
        <f t="shared" si="10"/>
        <v>21372</v>
      </c>
      <c r="U45" s="1100">
        <f t="shared" si="11"/>
        <v>27628</v>
      </c>
      <c r="V45" s="1157"/>
      <c r="W45" s="1526">
        <f t="shared" si="12"/>
        <v>10639</v>
      </c>
      <c r="X45" s="1547"/>
    </row>
    <row r="46" spans="1:38" s="1091" customFormat="1" ht="15.75" x14ac:dyDescent="0.25">
      <c r="A46" s="1199"/>
      <c r="B46" s="31" t="s">
        <v>571</v>
      </c>
      <c r="C46" s="1092"/>
      <c r="D46" s="1224">
        <v>3992919</v>
      </c>
      <c r="E46" s="1095">
        <v>1379658</v>
      </c>
      <c r="F46" s="1097">
        <f>+'3 จัดสรรเพื่อบริหาร'!D33</f>
        <v>0</v>
      </c>
      <c r="G46" s="1094"/>
      <c r="H46" s="1095"/>
      <c r="I46" s="1095"/>
      <c r="J46" s="1095"/>
      <c r="K46" s="38"/>
      <c r="L46" s="38"/>
      <c r="M46" s="1260">
        <f t="shared" si="13"/>
        <v>0</v>
      </c>
      <c r="N46" s="1096">
        <f t="shared" si="9"/>
        <v>0</v>
      </c>
      <c r="O46" s="1099">
        <v>373323</v>
      </c>
      <c r="P46" s="38">
        <v>373323</v>
      </c>
      <c r="Q46" s="65">
        <v>373323</v>
      </c>
      <c r="R46" s="65">
        <v>373323</v>
      </c>
      <c r="S46" s="207"/>
      <c r="T46" s="38">
        <f t="shared" si="10"/>
        <v>2872950</v>
      </c>
      <c r="U46" s="1100">
        <f t="shared" si="11"/>
        <v>1119969</v>
      </c>
      <c r="V46" s="1157"/>
      <c r="W46" s="1526">
        <f t="shared" si="12"/>
        <v>1119969</v>
      </c>
      <c r="X46" s="1547"/>
      <c r="AA46" s="1173">
        <f>+M51-U51</f>
        <v>-1085689.2</v>
      </c>
    </row>
    <row r="47" spans="1:38" s="1091" customFormat="1" ht="15.75" x14ac:dyDescent="0.25">
      <c r="A47" s="1199"/>
      <c r="B47" s="1113" t="s">
        <v>465</v>
      </c>
      <c r="C47" s="1092"/>
      <c r="D47" s="1224">
        <v>13200</v>
      </c>
      <c r="E47" s="1095">
        <v>5989.05</v>
      </c>
      <c r="F47" s="1097">
        <f>+'3 จัดสรรเพื่อบริหาร'!D35</f>
        <v>0</v>
      </c>
      <c r="G47" s="1094">
        <v>1030</v>
      </c>
      <c r="H47" s="1095">
        <v>1030</v>
      </c>
      <c r="I47" s="1095">
        <v>1030</v>
      </c>
      <c r="J47" s="1095">
        <v>1030</v>
      </c>
      <c r="K47" s="38">
        <v>1030</v>
      </c>
      <c r="L47" s="38">
        <f>1030+1031</f>
        <v>2061</v>
      </c>
      <c r="M47" s="1260">
        <f>SUM(J47:L47)</f>
        <v>4121</v>
      </c>
      <c r="N47" s="1096">
        <f t="shared" si="9"/>
        <v>7211</v>
      </c>
      <c r="O47" s="1439">
        <v>756</v>
      </c>
      <c r="P47" s="38">
        <v>747.93</v>
      </c>
      <c r="Q47" s="207">
        <v>752</v>
      </c>
      <c r="R47" s="207"/>
      <c r="S47" s="207"/>
      <c r="T47" s="38">
        <f t="shared" si="10"/>
        <v>8244.98</v>
      </c>
      <c r="U47" s="1100">
        <f t="shared" si="11"/>
        <v>4955.0200000000004</v>
      </c>
      <c r="V47" s="1157"/>
      <c r="W47" s="1526">
        <f t="shared" si="12"/>
        <v>2255.9299999999998</v>
      </c>
      <c r="X47" s="1547"/>
    </row>
    <row r="48" spans="1:38" s="1091" customFormat="1" ht="15.75" x14ac:dyDescent="0.25">
      <c r="A48" s="1199"/>
      <c r="B48" s="31" t="s">
        <v>466</v>
      </c>
      <c r="C48" s="1092"/>
      <c r="D48" s="1224">
        <v>79085.75999999998</v>
      </c>
      <c r="E48" s="1095">
        <v>32952.399999999987</v>
      </c>
      <c r="F48" s="1097">
        <f>+'3 จัดสรรเพื่อบริหาร'!D36</f>
        <v>0</v>
      </c>
      <c r="G48" s="1094">
        <v>6590</v>
      </c>
      <c r="H48" s="1095">
        <v>6590</v>
      </c>
      <c r="I48" s="1095">
        <v>6590</v>
      </c>
      <c r="J48" s="1095">
        <v>6590</v>
      </c>
      <c r="K48" s="38">
        <v>6590</v>
      </c>
      <c r="L48" s="38">
        <f>6590+6594</f>
        <v>13184</v>
      </c>
      <c r="M48" s="1260">
        <f t="shared" si="13"/>
        <v>26364</v>
      </c>
      <c r="N48" s="1096">
        <f t="shared" si="9"/>
        <v>46134</v>
      </c>
      <c r="O48" s="1439">
        <v>6590.48</v>
      </c>
      <c r="P48" s="38">
        <v>6590.48</v>
      </c>
      <c r="Q48" s="207">
        <v>6590</v>
      </c>
      <c r="R48" s="207">
        <v>6590</v>
      </c>
      <c r="S48" s="207"/>
      <c r="T48" s="38">
        <f t="shared" si="10"/>
        <v>59313.359999999986</v>
      </c>
      <c r="U48" s="1100">
        <f t="shared" si="11"/>
        <v>19772.399999999994</v>
      </c>
      <c r="V48" s="1157"/>
      <c r="W48" s="1526">
        <f t="shared" si="12"/>
        <v>19770.96</v>
      </c>
      <c r="X48" s="1547"/>
    </row>
    <row r="49" spans="1:29" s="1071" customFormat="1" ht="15.75" x14ac:dyDescent="0.25">
      <c r="A49" s="1201" t="s">
        <v>467</v>
      </c>
      <c r="B49" s="1539"/>
      <c r="C49" s="1537"/>
      <c r="D49" s="1108">
        <f>SUM(D50:D60)</f>
        <v>4485555</v>
      </c>
      <c r="E49" s="1108">
        <f t="shared" ref="E49:N49" si="14">SUM(E50:E60)</f>
        <v>884722.87999999989</v>
      </c>
      <c r="F49" s="1109">
        <f>SUM(F50:F60)</f>
        <v>52270</v>
      </c>
      <c r="G49" s="1110">
        <f t="shared" si="14"/>
        <v>297236</v>
      </c>
      <c r="H49" s="1108">
        <f t="shared" si="14"/>
        <v>351901</v>
      </c>
      <c r="I49" s="1108">
        <f t="shared" si="14"/>
        <v>835811</v>
      </c>
      <c r="J49" s="1108">
        <f t="shared" si="14"/>
        <v>370900</v>
      </c>
      <c r="K49" s="1159">
        <f t="shared" si="14"/>
        <v>1450930</v>
      </c>
      <c r="L49" s="1159">
        <f t="shared" si="14"/>
        <v>281610</v>
      </c>
      <c r="M49" s="1108">
        <f>SUM(M50:M60)</f>
        <v>1732540</v>
      </c>
      <c r="N49" s="1111">
        <f t="shared" si="14"/>
        <v>3588388</v>
      </c>
      <c r="O49" s="1158">
        <f>SUM(O50:O60)</f>
        <v>348832</v>
      </c>
      <c r="P49" s="1169">
        <f>SUM(P50:P60)</f>
        <v>224529</v>
      </c>
      <c r="Q49" s="1441">
        <f>SUM(Q50:Q60)</f>
        <v>328210</v>
      </c>
      <c r="R49" s="1441">
        <f>SUM(R50:R60)</f>
        <v>66205</v>
      </c>
      <c r="S49" s="1206"/>
      <c r="T49" s="1159">
        <f>SUM(T50:T60)</f>
        <v>435010.18</v>
      </c>
      <c r="U49" s="1218">
        <f>SUM(U50:U60)</f>
        <v>3998274.8200000003</v>
      </c>
      <c r="V49" s="1218">
        <f>SUM(V50:V60)</f>
        <v>2155262.8199999998</v>
      </c>
      <c r="W49" s="1524">
        <f>SUM(W50:W60)</f>
        <v>901571</v>
      </c>
      <c r="X49" s="1218">
        <f>SUM(X50:X60)</f>
        <v>1718110</v>
      </c>
      <c r="Y49" s="1071" t="s">
        <v>515</v>
      </c>
      <c r="Z49" s="1071" t="s">
        <v>516</v>
      </c>
      <c r="AB49" s="1254"/>
    </row>
    <row r="50" spans="1:29" s="1168" customFormat="1" ht="15.75" x14ac:dyDescent="0.25">
      <c r="A50" s="1200"/>
      <c r="B50" s="1168" t="s">
        <v>468</v>
      </c>
      <c r="C50" s="1114"/>
      <c r="D50" s="1224">
        <f>+'2 จัดสรรให้ส่วนฝ่าย'!B157</f>
        <v>170000</v>
      </c>
      <c r="E50" s="1224">
        <f>106447.8+400</f>
        <v>106847.8</v>
      </c>
      <c r="F50" s="1093">
        <f>+'2 จัดสรรให้ส่วนฝ่าย'!D157</f>
        <v>0</v>
      </c>
      <c r="G50" s="1215"/>
      <c r="H50" s="1224"/>
      <c r="I50" s="1224">
        <v>70000</v>
      </c>
      <c r="J50" s="1224"/>
      <c r="K50" s="1224">
        <f>70000+3552-400+183000-176152</f>
        <v>80000</v>
      </c>
      <c r="L50" s="1224"/>
      <c r="M50" s="1574">
        <f>SUM(K50:L50)</f>
        <v>80000</v>
      </c>
      <c r="N50" s="1429">
        <f>SUM(G50:L50)</f>
        <v>150000</v>
      </c>
      <c r="O50" s="1210">
        <v>1060</v>
      </c>
      <c r="P50" s="1224"/>
      <c r="Q50" s="1247">
        <v>70694</v>
      </c>
      <c r="R50" s="1247"/>
      <c r="S50" s="1247"/>
      <c r="T50" s="1224">
        <f>+'2 จัดสรรให้ส่วนฝ่าย'!E157</f>
        <v>34764</v>
      </c>
      <c r="U50" s="1603">
        <f>+D50-T50-F50</f>
        <v>135236</v>
      </c>
      <c r="V50" s="1575">
        <f>+M50-U50</f>
        <v>-55236</v>
      </c>
      <c r="W50" s="1576">
        <f t="shared" ref="W50:W60" si="15">+O50+P50+Q50</f>
        <v>71754</v>
      </c>
      <c r="X50" s="1429">
        <v>80000</v>
      </c>
      <c r="Y50" s="1253">
        <f>+N50+E50</f>
        <v>256847.8</v>
      </c>
      <c r="Z50" s="1253">
        <f t="shared" ref="Z50:Z60" si="16">+D50-Y50</f>
        <v>-86847.799999999988</v>
      </c>
    </row>
    <row r="51" spans="1:29" s="31" customFormat="1" ht="15.75" x14ac:dyDescent="0.25">
      <c r="A51" s="1454"/>
      <c r="B51" s="31" t="s">
        <v>469</v>
      </c>
      <c r="C51" s="1092"/>
      <c r="D51" s="75">
        <f>+'2 จัดสรรให้ส่วนฝ่าย'!B6-D39</f>
        <v>1667930</v>
      </c>
      <c r="E51" s="75">
        <f>99966.69-E39</f>
        <v>94521.150000000009</v>
      </c>
      <c r="F51" s="1130">
        <f>+'2 จัดสรรให้ส่วนฝ่าย'!D6-'2 จัดสรรให้ส่วนฝ่าย'!D13</f>
        <v>2540</v>
      </c>
      <c r="G51" s="1131">
        <v>60000</v>
      </c>
      <c r="H51" s="75">
        <f>200000-141295-9394</f>
        <v>49311</v>
      </c>
      <c r="I51" s="75">
        <v>93494</v>
      </c>
      <c r="J51" s="75"/>
      <c r="K51" s="75">
        <f>+(676600-35000)-K39</f>
        <v>550000</v>
      </c>
      <c r="L51" s="75"/>
      <c r="M51" s="1604">
        <f t="shared" ref="M51:M60" si="17">SUM(K51:L51)</f>
        <v>550000</v>
      </c>
      <c r="N51" s="1100">
        <f>SUM(G51:L51)</f>
        <v>752805</v>
      </c>
      <c r="O51" s="1439">
        <f>840+16100+18255+17857</f>
        <v>53052</v>
      </c>
      <c r="P51" s="38">
        <v>93899</v>
      </c>
      <c r="Q51" s="207">
        <f>3744+1+62821</f>
        <v>66566</v>
      </c>
      <c r="R51" s="207">
        <v>46026</v>
      </c>
      <c r="S51" s="207"/>
      <c r="T51" s="38">
        <f>+'2 จัดสรรให้ส่วนฝ่าย'!E6-T39</f>
        <v>29700.800000000003</v>
      </c>
      <c r="U51" s="1603">
        <f>+D51-T51-F51</f>
        <v>1635689.2</v>
      </c>
      <c r="V51" s="1533">
        <f t="shared" ref="V51:V60" si="18">+U51-M51</f>
        <v>1085689.2</v>
      </c>
      <c r="W51" s="1526">
        <f t="shared" si="15"/>
        <v>213517</v>
      </c>
      <c r="X51" s="1160">
        <v>565000</v>
      </c>
      <c r="Y51" s="1115">
        <f>+N51+E51</f>
        <v>847326.15</v>
      </c>
      <c r="Z51" s="1115">
        <f t="shared" si="16"/>
        <v>820603.85</v>
      </c>
      <c r="AC51" s="1115">
        <f>+M51-50000-2199-66773-50000-50000</f>
        <v>331028</v>
      </c>
    </row>
    <row r="52" spans="1:29" s="1168" customFormat="1" ht="15.75" x14ac:dyDescent="0.25">
      <c r="A52" s="1200"/>
      <c r="B52" s="1168" t="s">
        <v>470</v>
      </c>
      <c r="C52" s="1114"/>
      <c r="D52" s="1224">
        <f>+'2 จัดสรรให้ส่วนฝ่าย'!H6</f>
        <v>14000</v>
      </c>
      <c r="E52" s="1224">
        <v>7004.9900000000007</v>
      </c>
      <c r="F52" s="1093">
        <f>+'2 จัดสรรให้ส่วนฝ่าย'!J6</f>
        <v>990</v>
      </c>
      <c r="G52" s="1215">
        <v>1500</v>
      </c>
      <c r="H52" s="1224">
        <v>1500</v>
      </c>
      <c r="I52" s="1224">
        <v>1500</v>
      </c>
      <c r="J52" s="1224">
        <v>1500</v>
      </c>
      <c r="K52" s="1224">
        <v>1500</v>
      </c>
      <c r="L52" s="1129">
        <f>3000-1500</f>
        <v>1500</v>
      </c>
      <c r="M52" s="1574">
        <f t="shared" si="17"/>
        <v>3000</v>
      </c>
      <c r="N52" s="1429">
        <f>SUM(G52:L52)</f>
        <v>9000</v>
      </c>
      <c r="O52" s="1210">
        <v>1922</v>
      </c>
      <c r="P52" s="1224">
        <v>1441</v>
      </c>
      <c r="Q52" s="1224">
        <f>1440+2</f>
        <v>1442</v>
      </c>
      <c r="R52" s="1224">
        <v>1440</v>
      </c>
      <c r="S52" s="1247"/>
      <c r="T52" s="1224">
        <f>+'2 จัดสรรให้ส่วนฝ่าย'!K6</f>
        <v>3269.66</v>
      </c>
      <c r="U52" s="1603">
        <f t="shared" ref="U52:U59" si="19">+D52-T52-F52</f>
        <v>9740.34</v>
      </c>
      <c r="V52" s="1575">
        <f t="shared" si="18"/>
        <v>6740.34</v>
      </c>
      <c r="W52" s="1576">
        <f t="shared" si="15"/>
        <v>4805</v>
      </c>
      <c r="X52" s="1577">
        <v>3000</v>
      </c>
      <c r="Y52" s="1253">
        <f>+N52+E52</f>
        <v>16004.990000000002</v>
      </c>
      <c r="Z52" s="1253">
        <f t="shared" si="16"/>
        <v>-2004.9900000000016</v>
      </c>
    </row>
    <row r="53" spans="1:29" s="1168" customFormat="1" ht="15.75" x14ac:dyDescent="0.25">
      <c r="A53" s="1200"/>
      <c r="B53" s="1168" t="s">
        <v>471</v>
      </c>
      <c r="C53" s="1114"/>
      <c r="D53" s="1224">
        <f>+'2 จัดสรรให้ส่วนฝ่าย'!B39</f>
        <v>381700</v>
      </c>
      <c r="E53" s="1224">
        <v>17274.990000000002</v>
      </c>
      <c r="F53" s="1093">
        <f>+'2 จัดสรรให้ส่วนฝ่าย'!D39</f>
        <v>680</v>
      </c>
      <c r="G53" s="1215">
        <f>39430-20310</f>
        <v>19120</v>
      </c>
      <c r="H53" s="1224">
        <v>25440</v>
      </c>
      <c r="I53" s="1224">
        <v>54900</v>
      </c>
      <c r="J53" s="1224">
        <v>61550</v>
      </c>
      <c r="K53" s="1224">
        <v>171360</v>
      </c>
      <c r="L53" s="1129">
        <v>34920</v>
      </c>
      <c r="M53" s="1574">
        <f t="shared" si="17"/>
        <v>206280</v>
      </c>
      <c r="N53" s="1429">
        <f t="shared" ref="N53:N60" si="20">SUM(G53:L53)</f>
        <v>367290</v>
      </c>
      <c r="O53" s="1210">
        <v>30771</v>
      </c>
      <c r="P53" s="1224">
        <v>3470</v>
      </c>
      <c r="Q53" s="1247">
        <f>44666+32980+1</f>
        <v>77647</v>
      </c>
      <c r="R53" s="1247">
        <v>6860</v>
      </c>
      <c r="S53" s="1247"/>
      <c r="T53" s="1224">
        <f>+'2 จัดสรรให้ส่วนฝ่าย'!E39</f>
        <v>28687.86</v>
      </c>
      <c r="U53" s="1603">
        <f>+D53-T53-F53</f>
        <v>352332.14</v>
      </c>
      <c r="V53" s="1575">
        <f t="shared" si="18"/>
        <v>146052.14000000001</v>
      </c>
      <c r="W53" s="1576">
        <f t="shared" si="15"/>
        <v>111888</v>
      </c>
      <c r="X53" s="1577">
        <v>206280</v>
      </c>
      <c r="Y53" s="1253">
        <f t="shared" ref="Y53:Y61" si="21">+N53+E53</f>
        <v>384564.99</v>
      </c>
      <c r="Z53" s="1253">
        <f t="shared" si="16"/>
        <v>-2864.9899999999907</v>
      </c>
    </row>
    <row r="54" spans="1:29" s="1168" customFormat="1" ht="15.75" x14ac:dyDescent="0.25">
      <c r="A54" s="1200"/>
      <c r="B54" s="1168" t="s">
        <v>472</v>
      </c>
      <c r="C54" s="1114"/>
      <c r="D54" s="1224">
        <f>+'2 จัดสรรให้ส่วนฝ่าย'!H39</f>
        <v>135750</v>
      </c>
      <c r="E54" s="1224">
        <v>3221.24</v>
      </c>
      <c r="F54" s="1093">
        <f>+'2 จัดสรรให้ส่วนฝ่าย'!J39</f>
        <v>0</v>
      </c>
      <c r="G54" s="1215"/>
      <c r="H54" s="1224">
        <v>500</v>
      </c>
      <c r="I54" s="1224">
        <v>500</v>
      </c>
      <c r="J54" s="1224">
        <v>500</v>
      </c>
      <c r="K54" s="1224">
        <v>500</v>
      </c>
      <c r="L54" s="1129">
        <v>500</v>
      </c>
      <c r="M54" s="1574">
        <f t="shared" si="17"/>
        <v>1000</v>
      </c>
      <c r="N54" s="1429">
        <f t="shared" si="20"/>
        <v>2500</v>
      </c>
      <c r="O54" s="1210">
        <v>926</v>
      </c>
      <c r="P54" s="1224">
        <v>480</v>
      </c>
      <c r="Q54" s="1247">
        <f>1005+1</f>
        <v>1006</v>
      </c>
      <c r="R54" s="1247">
        <v>480</v>
      </c>
      <c r="S54" s="1247"/>
      <c r="T54" s="1224">
        <f>+'2 จัดสรรให้ส่วนฝ่าย'!K39</f>
        <v>17265</v>
      </c>
      <c r="U54" s="1603">
        <f t="shared" si="19"/>
        <v>118485</v>
      </c>
      <c r="V54" s="1575">
        <f t="shared" si="18"/>
        <v>117485</v>
      </c>
      <c r="W54" s="1576">
        <f t="shared" si="15"/>
        <v>2412</v>
      </c>
      <c r="X54" s="1577">
        <v>1000</v>
      </c>
      <c r="Y54" s="1253">
        <f t="shared" si="21"/>
        <v>5721.24</v>
      </c>
      <c r="Z54" s="1253">
        <f t="shared" si="16"/>
        <v>130028.76</v>
      </c>
    </row>
    <row r="55" spans="1:29" s="1168" customFormat="1" ht="17.25" customHeight="1" x14ac:dyDescent="0.25">
      <c r="A55" s="1200"/>
      <c r="B55" s="1168" t="s">
        <v>473</v>
      </c>
      <c r="C55" s="1114"/>
      <c r="D55" s="1224">
        <f>+'2 จัดสรรให้ส่วนฝ่าย'!B69</f>
        <v>499800</v>
      </c>
      <c r="E55" s="1224">
        <v>185410</v>
      </c>
      <c r="F55" s="1093">
        <f>+'2 จัดสรรให้ส่วนฝ่าย'!D69</f>
        <v>44240</v>
      </c>
      <c r="G55" s="1215"/>
      <c r="H55" s="1224">
        <v>157500</v>
      </c>
      <c r="I55" s="1224">
        <v>220000</v>
      </c>
      <c r="J55" s="1224">
        <v>18500</v>
      </c>
      <c r="K55" s="1224">
        <v>163860</v>
      </c>
      <c r="L55" s="1224">
        <v>156480</v>
      </c>
      <c r="M55" s="1574">
        <f t="shared" si="17"/>
        <v>320340</v>
      </c>
      <c r="N55" s="1429">
        <f t="shared" si="20"/>
        <v>716340</v>
      </c>
      <c r="O55" s="1210"/>
      <c r="P55" s="1224">
        <v>89409</v>
      </c>
      <c r="Q55" s="1247">
        <f>800+1</f>
        <v>801</v>
      </c>
      <c r="R55" s="1247"/>
      <c r="S55" s="1247"/>
      <c r="T55" s="1224">
        <f>+'2 จัดสรรให้ส่วนฝ่าย'!E69</f>
        <v>120440</v>
      </c>
      <c r="U55" s="1603">
        <f t="shared" si="19"/>
        <v>335120</v>
      </c>
      <c r="V55" s="1575">
        <f t="shared" si="18"/>
        <v>14780</v>
      </c>
      <c r="W55" s="1576">
        <f t="shared" si="15"/>
        <v>90210</v>
      </c>
      <c r="X55" s="1577">
        <v>301790</v>
      </c>
      <c r="Y55" s="1253">
        <f t="shared" si="21"/>
        <v>901750</v>
      </c>
      <c r="Z55" s="1253">
        <f t="shared" si="16"/>
        <v>-401950</v>
      </c>
    </row>
    <row r="56" spans="1:29" s="1168" customFormat="1" ht="18" customHeight="1" x14ac:dyDescent="0.25">
      <c r="A56" s="1200"/>
      <c r="B56" s="1168" t="s">
        <v>474</v>
      </c>
      <c r="C56" s="1114"/>
      <c r="D56" s="1224">
        <f>+'2 จัดสรรให้ส่วนฝ่าย'!H69</f>
        <v>622075</v>
      </c>
      <c r="E56" s="1224">
        <v>185399</v>
      </c>
      <c r="F56" s="1093">
        <f>+'2 จัดสรรให้ส่วนฝ่าย'!J69</f>
        <v>0</v>
      </c>
      <c r="G56" s="1215">
        <v>41600</v>
      </c>
      <c r="H56" s="1224">
        <v>56150</v>
      </c>
      <c r="I56" s="1224">
        <v>175725</v>
      </c>
      <c r="J56" s="1224">
        <f>78598+78152</f>
        <v>156750</v>
      </c>
      <c r="K56" s="1224">
        <f>183250-119000</f>
        <v>64250</v>
      </c>
      <c r="L56" s="1224">
        <f>52100-12750</f>
        <v>39350</v>
      </c>
      <c r="M56" s="1574">
        <f t="shared" si="17"/>
        <v>103600</v>
      </c>
      <c r="N56" s="1429">
        <f t="shared" si="20"/>
        <v>533825</v>
      </c>
      <c r="O56" s="1210">
        <v>38400</v>
      </c>
      <c r="P56" s="1224">
        <v>20940</v>
      </c>
      <c r="Q56" s="1247">
        <f>21156+7500</f>
        <v>28656</v>
      </c>
      <c r="R56" s="1247">
        <v>6720</v>
      </c>
      <c r="S56" s="1247"/>
      <c r="T56" s="1224">
        <f>+'2 จัดสรรให้ส่วนฝ่าย'!K69</f>
        <v>160088</v>
      </c>
      <c r="U56" s="1603">
        <f t="shared" si="19"/>
        <v>461987</v>
      </c>
      <c r="V56" s="1575">
        <f t="shared" si="18"/>
        <v>358387</v>
      </c>
      <c r="W56" s="1576">
        <f t="shared" si="15"/>
        <v>87996</v>
      </c>
      <c r="X56" s="1577">
        <v>103600</v>
      </c>
      <c r="Y56" s="1253">
        <f t="shared" si="21"/>
        <v>719224</v>
      </c>
      <c r="Z56" s="1253">
        <f t="shared" si="16"/>
        <v>-97149</v>
      </c>
    </row>
    <row r="57" spans="1:29" s="1168" customFormat="1" ht="15.75" x14ac:dyDescent="0.25">
      <c r="A57" s="1200"/>
      <c r="B57" s="1168" t="s">
        <v>475</v>
      </c>
      <c r="C57" s="1114"/>
      <c r="D57" s="1224">
        <f>+'2 จัดสรรให้ส่วนฝ่าย'!B99</f>
        <v>213000</v>
      </c>
      <c r="E57" s="1224">
        <v>31948.739999999998</v>
      </c>
      <c r="F57" s="1093">
        <f>+'2 จัดสรรให้ส่วนฝ่าย'!D99</f>
        <v>0</v>
      </c>
      <c r="G57" s="1215">
        <v>31000</v>
      </c>
      <c r="H57" s="1224">
        <v>31000</v>
      </c>
      <c r="I57" s="1224">
        <v>46000</v>
      </c>
      <c r="J57" s="1224">
        <f>31000+40000</f>
        <v>71000</v>
      </c>
      <c r="K57" s="1224">
        <v>102200</v>
      </c>
      <c r="L57" s="1224">
        <v>11400</v>
      </c>
      <c r="M57" s="1574">
        <f t="shared" si="17"/>
        <v>113600</v>
      </c>
      <c r="N57" s="1429">
        <f t="shared" si="20"/>
        <v>292600</v>
      </c>
      <c r="O57" s="1210">
        <v>1985</v>
      </c>
      <c r="P57" s="1224"/>
      <c r="Q57" s="1247">
        <f>3102+1</f>
        <v>3103</v>
      </c>
      <c r="R57" s="1247">
        <v>2399</v>
      </c>
      <c r="S57" s="1247"/>
      <c r="T57" s="1224">
        <f>+'2 จัดสรรให้ส่วนฝ่าย'!E99</f>
        <v>13240</v>
      </c>
      <c r="U57" s="1603">
        <f t="shared" si="19"/>
        <v>199760</v>
      </c>
      <c r="V57" s="1575">
        <f t="shared" si="18"/>
        <v>86160</v>
      </c>
      <c r="W57" s="1576">
        <f t="shared" si="15"/>
        <v>5088</v>
      </c>
      <c r="X57" s="1577">
        <v>112000</v>
      </c>
      <c r="Y57" s="1253">
        <f t="shared" si="21"/>
        <v>324548.74</v>
      </c>
      <c r="Z57" s="1253">
        <f t="shared" si="16"/>
        <v>-111548.73999999999</v>
      </c>
    </row>
    <row r="58" spans="1:29" s="1168" customFormat="1" ht="15.75" x14ac:dyDescent="0.25">
      <c r="A58" s="1200"/>
      <c r="B58" s="1168" t="s">
        <v>476</v>
      </c>
      <c r="C58" s="1114"/>
      <c r="D58" s="1224">
        <f>+'2 จัดสรรให้ส่วนฝ่าย'!H99</f>
        <v>221200</v>
      </c>
      <c r="E58" s="1224">
        <v>35842.49</v>
      </c>
      <c r="F58" s="1093">
        <f>+'2 จัดสรรให้ส่วนฝ่าย'!J99</f>
        <v>3820</v>
      </c>
      <c r="G58" s="1215">
        <v>100500</v>
      </c>
      <c r="H58" s="1224">
        <v>30500</v>
      </c>
      <c r="I58" s="1224">
        <v>46792</v>
      </c>
      <c r="J58" s="1224">
        <f>85300-80600</f>
        <v>4700</v>
      </c>
      <c r="K58" s="1224">
        <v>106500</v>
      </c>
      <c r="L58" s="1224">
        <f>6100-2800</f>
        <v>3300</v>
      </c>
      <c r="M58" s="1574">
        <f t="shared" si="17"/>
        <v>109800</v>
      </c>
      <c r="N58" s="1429">
        <f t="shared" si="20"/>
        <v>292292</v>
      </c>
      <c r="O58" s="1210">
        <v>72890</v>
      </c>
      <c r="P58" s="1224">
        <v>14890</v>
      </c>
      <c r="Q58" s="1247">
        <f>480+1</f>
        <v>481</v>
      </c>
      <c r="R58" s="1247">
        <v>2280</v>
      </c>
      <c r="S58" s="1247"/>
      <c r="T58" s="1224">
        <f>+'2 จัดสรรให้ส่วนฝ่าย'!K99</f>
        <v>10398</v>
      </c>
      <c r="U58" s="1603">
        <f t="shared" si="19"/>
        <v>206982</v>
      </c>
      <c r="V58" s="1575">
        <f t="shared" si="18"/>
        <v>97182</v>
      </c>
      <c r="W58" s="1576">
        <f t="shared" si="15"/>
        <v>88261</v>
      </c>
      <c r="X58" s="1577">
        <v>138600</v>
      </c>
      <c r="Y58" s="1253">
        <f t="shared" si="21"/>
        <v>328134.49</v>
      </c>
      <c r="Z58" s="1253">
        <f t="shared" si="16"/>
        <v>-106934.48999999999</v>
      </c>
    </row>
    <row r="59" spans="1:29" s="1168" customFormat="1" ht="15.75" x14ac:dyDescent="0.25">
      <c r="A59" s="1200"/>
      <c r="B59" s="1168" t="s">
        <v>477</v>
      </c>
      <c r="C59" s="1114"/>
      <c r="D59" s="1255">
        <f>+'2 จัดสรรให้ส่วนฝ่าย'!B129</f>
        <v>80100</v>
      </c>
      <c r="E59" s="1224">
        <v>50802.48</v>
      </c>
      <c r="F59" s="1093">
        <f>+'2 จัดสรรให้ส่วนฝ่าย'!D129</f>
        <v>0</v>
      </c>
      <c r="G59" s="1215">
        <v>43516</v>
      </c>
      <c r="H59" s="1224"/>
      <c r="I59" s="1224">
        <v>92900</v>
      </c>
      <c r="J59" s="1224">
        <f>26693+29707</f>
        <v>56400</v>
      </c>
      <c r="K59" s="1224">
        <f>104880-16320</f>
        <v>88560</v>
      </c>
      <c r="L59" s="1224">
        <v>34160</v>
      </c>
      <c r="M59" s="1574">
        <f>SUM(K59:L59)</f>
        <v>122720</v>
      </c>
      <c r="N59" s="1429">
        <f t="shared" si="20"/>
        <v>315536</v>
      </c>
      <c r="O59" s="1210">
        <v>147826</v>
      </c>
      <c r="P59" s="1224"/>
      <c r="Q59" s="1247">
        <f>10844+1</f>
        <v>10845</v>
      </c>
      <c r="R59" s="1247"/>
      <c r="S59" s="1247"/>
      <c r="T59" s="1224">
        <f>+'2 จัดสรรให้ส่วนฝ่าย'!E129</f>
        <v>10698.36</v>
      </c>
      <c r="U59" s="1603">
        <f t="shared" si="19"/>
        <v>69401.64</v>
      </c>
      <c r="V59" s="1575">
        <f t="shared" si="18"/>
        <v>-53318.36</v>
      </c>
      <c r="W59" s="1576">
        <f t="shared" si="15"/>
        <v>158671</v>
      </c>
      <c r="X59" s="1577">
        <v>84640</v>
      </c>
      <c r="Y59" s="1253">
        <f t="shared" si="21"/>
        <v>366338.48</v>
      </c>
      <c r="Z59" s="1253">
        <f t="shared" si="16"/>
        <v>-286238.48</v>
      </c>
    </row>
    <row r="60" spans="1:29" s="1168" customFormat="1" ht="16.5" thickBot="1" x14ac:dyDescent="0.3">
      <c r="A60" s="1200"/>
      <c r="B60" s="1168" t="s">
        <v>478</v>
      </c>
      <c r="C60" s="1114"/>
      <c r="D60" s="1224">
        <f>+'2 จัดสรรให้ส่วนฝ่าย'!H129</f>
        <v>480000</v>
      </c>
      <c r="E60" s="1224">
        <v>166450</v>
      </c>
      <c r="F60" s="1093">
        <f>+'2 จัดสรรให้ส่วนฝ่าย'!J129</f>
        <v>0</v>
      </c>
      <c r="G60" s="1215"/>
      <c r="H60" s="1224"/>
      <c r="I60" s="1224">
        <v>34000</v>
      </c>
      <c r="J60" s="1224"/>
      <c r="K60" s="1129">
        <f>150000-55000+27200</f>
        <v>122200</v>
      </c>
      <c r="L60" s="1224"/>
      <c r="M60" s="1574">
        <f t="shared" si="17"/>
        <v>122200</v>
      </c>
      <c r="N60" s="1429">
        <f t="shared" si="20"/>
        <v>156200</v>
      </c>
      <c r="O60" s="1212"/>
      <c r="P60" s="1225"/>
      <c r="Q60" s="1248">
        <f>66968+1</f>
        <v>66969</v>
      </c>
      <c r="R60" s="1248"/>
      <c r="S60" s="1248"/>
      <c r="T60" s="1224">
        <f>+'2 จัดสรรให้ส่วนฝ่าย'!K129</f>
        <v>6458.5</v>
      </c>
      <c r="U60" s="1603">
        <f>+D60-T60-F60</f>
        <v>473541.5</v>
      </c>
      <c r="V60" s="1575">
        <f t="shared" si="18"/>
        <v>351341.5</v>
      </c>
      <c r="W60" s="1576">
        <f t="shared" si="15"/>
        <v>66969</v>
      </c>
      <c r="X60" s="1577">
        <v>122200</v>
      </c>
      <c r="Y60" s="1253">
        <f t="shared" si="21"/>
        <v>322650</v>
      </c>
      <c r="Z60" s="1253">
        <f t="shared" si="16"/>
        <v>157350</v>
      </c>
    </row>
    <row r="61" spans="1:29" s="1071" customFormat="1" ht="16.5" customHeight="1" thickTop="1" thickBot="1" x14ac:dyDescent="0.3">
      <c r="A61" s="3145" t="s">
        <v>28</v>
      </c>
      <c r="B61" s="3146"/>
      <c r="C61" s="3147"/>
      <c r="D61" s="1179">
        <f t="shared" ref="D61:P61" si="22">+D49+D41+D26</f>
        <v>22595570.409999996</v>
      </c>
      <c r="E61" s="1179">
        <f t="shared" si="22"/>
        <v>6384435.4499999993</v>
      </c>
      <c r="F61" s="1180">
        <f t="shared" si="22"/>
        <v>2614051.5499999998</v>
      </c>
      <c r="G61" s="1118">
        <f t="shared" si="22"/>
        <v>756482</v>
      </c>
      <c r="H61" s="1116">
        <f t="shared" si="22"/>
        <v>643293</v>
      </c>
      <c r="I61" s="1116">
        <f t="shared" si="22"/>
        <v>1052203</v>
      </c>
      <c r="J61" s="1116">
        <f t="shared" si="22"/>
        <v>1065832</v>
      </c>
      <c r="K61" s="1161">
        <f t="shared" si="22"/>
        <v>2540971</v>
      </c>
      <c r="L61" s="1161">
        <f t="shared" si="22"/>
        <v>1403950</v>
      </c>
      <c r="M61" s="1116">
        <f>+M49+M41+M26</f>
        <v>4505653</v>
      </c>
      <c r="N61" s="1117">
        <f>+N49+N41+N26</f>
        <v>7462731</v>
      </c>
      <c r="O61" s="1221">
        <f t="shared" si="22"/>
        <v>1974260.38</v>
      </c>
      <c r="P61" s="1221">
        <f t="shared" si="22"/>
        <v>2108222.63</v>
      </c>
      <c r="Q61" s="1221">
        <f>+Q49+Q41+Q26</f>
        <v>1970126</v>
      </c>
      <c r="R61" s="1221">
        <f>+R49+R41+R26</f>
        <v>1793683.15</v>
      </c>
      <c r="S61" s="1221"/>
      <c r="T61" s="1221">
        <f>+T49+T41+T26</f>
        <v>12686328.09</v>
      </c>
      <c r="U61" s="1221">
        <f>+U49+U41+U26</f>
        <v>8649831.3200000003</v>
      </c>
      <c r="V61" s="1562">
        <f>SUM(V50:V60)+V40+V39</f>
        <v>1106761.4099999999</v>
      </c>
      <c r="W61" s="1527">
        <f>+W49+W41+W26</f>
        <v>6052609.0099999998</v>
      </c>
      <c r="X61" s="1543">
        <f>+X49+X40+X39</f>
        <v>2250819</v>
      </c>
      <c r="Y61" s="1173">
        <f t="shared" si="21"/>
        <v>13847166.449999999</v>
      </c>
      <c r="Z61" s="1254">
        <f>SUM(Z50:Z60)</f>
        <v>12444.120000000112</v>
      </c>
      <c r="AB61" s="1254">
        <f>+M49+M40+M39</f>
        <v>2261849</v>
      </c>
    </row>
    <row r="62" spans="1:29" s="1091" customFormat="1" ht="15.75" customHeight="1" thickTop="1" x14ac:dyDescent="0.3">
      <c r="B62" s="31"/>
      <c r="C62" s="31"/>
      <c r="D62" s="473"/>
      <c r="E62" s="473"/>
      <c r="F62" s="473"/>
      <c r="G62" s="473"/>
      <c r="H62" s="473"/>
      <c r="I62" s="473"/>
      <c r="J62" s="1443" t="s">
        <v>570</v>
      </c>
      <c r="K62" s="472"/>
      <c r="L62" s="472"/>
      <c r="M62" s="1442">
        <f>+M49+M40+M39</f>
        <v>2261849</v>
      </c>
      <c r="N62" s="1443">
        <f>+U49+U40+U39</f>
        <v>3479082.41</v>
      </c>
      <c r="O62" s="31"/>
      <c r="P62" s="31"/>
      <c r="Q62" s="31"/>
      <c r="R62" s="1532" t="s">
        <v>582</v>
      </c>
      <c r="S62" s="31"/>
      <c r="T62" s="1430"/>
      <c r="U62" s="1115">
        <f>+U49+U40+U39</f>
        <v>3479082.41</v>
      </c>
      <c r="V62" s="700"/>
      <c r="W62" s="1115"/>
      <c r="X62" s="1565">
        <v>23956</v>
      </c>
    </row>
    <row r="63" spans="1:29" s="1091" customFormat="1" ht="17.25" x14ac:dyDescent="0.3">
      <c r="B63" s="31"/>
      <c r="C63" s="31"/>
      <c r="D63" s="473"/>
      <c r="E63" s="473"/>
      <c r="F63" s="473"/>
      <c r="G63" s="473"/>
      <c r="H63" s="473"/>
      <c r="I63" s="473"/>
      <c r="J63" s="474"/>
      <c r="K63" s="472"/>
      <c r="L63" s="472"/>
      <c r="M63" s="1442">
        <f>+'5สรุปรายงบ (66 พลางก่อน)'!F8-'5สรุปรายงบ (66 พลางก่อน)'!I8-'5สรุปรายงบ (66 พลางก่อน)'!H8-'1. แผน-ผลการใช้จ่าย ส.ค. - ก.ย.'!M62</f>
        <v>8609846</v>
      </c>
      <c r="N63" s="1443">
        <f>+'5สรุปรายงบ (66 พลางก่อน)'!F8-'5สรุปรายงบ (66 พลางก่อน)'!H8-'5สรุปรายงบ (66 พลางก่อน)'!I8-'1. แผน-ผลการใช้จ่าย ส.ค. - ก.ย.'!N62</f>
        <v>7392612.5899999999</v>
      </c>
      <c r="O63" s="31"/>
      <c r="P63" s="31"/>
      <c r="Q63" s="31"/>
      <c r="R63" s="31"/>
      <c r="S63" s="31"/>
      <c r="T63" s="1535" t="s">
        <v>583</v>
      </c>
      <c r="U63" s="661">
        <f>+'5สรุปรายงบ (66 พลางก่อน)'!F8-'5สรุปรายงบ (66 พลางก่อน)'!H8-'5สรุปรายงบ (66 พลางก่อน)'!I8-U62-D64-K64-M64</f>
        <v>7256636.5899999999</v>
      </c>
      <c r="V63" s="1115" t="s">
        <v>588</v>
      </c>
      <c r="W63" s="1115"/>
      <c r="X63" s="1128"/>
      <c r="Z63" s="1173">
        <f>+D60-F60-T60</f>
        <v>473541.5</v>
      </c>
    </row>
    <row r="64" spans="1:29" s="1091" customFormat="1" x14ac:dyDescent="0.3">
      <c r="B64" s="31"/>
      <c r="C64" s="1115" t="s">
        <v>589</v>
      </c>
      <c r="D64" s="473">
        <v>32505</v>
      </c>
      <c r="E64" s="473"/>
      <c r="F64" s="473" t="s">
        <v>596</v>
      </c>
      <c r="G64" s="473"/>
      <c r="H64" s="473"/>
      <c r="I64" s="473"/>
      <c r="J64" s="473"/>
      <c r="K64" s="472">
        <v>23471</v>
      </c>
      <c r="L64" s="472" t="s">
        <v>597</v>
      </c>
      <c r="M64" s="473">
        <f>25*3200</f>
        <v>80000</v>
      </c>
      <c r="N64" s="473"/>
      <c r="O64" s="31"/>
      <c r="P64" s="31"/>
      <c r="Q64" s="1115"/>
      <c r="R64" s="1253">
        <f>+D64+K64+M64</f>
        <v>135976</v>
      </c>
      <c r="S64" s="31"/>
      <c r="T64" s="1249"/>
      <c r="U64" s="1115"/>
      <c r="W64" s="1115"/>
      <c r="X64" s="1128"/>
    </row>
    <row r="65" spans="2:38" s="1091" customFormat="1" ht="14.25" customHeight="1" x14ac:dyDescent="0.3">
      <c r="B65" s="31"/>
      <c r="C65" s="31"/>
      <c r="D65" s="473"/>
      <c r="E65" s="473"/>
      <c r="F65" s="473"/>
      <c r="G65" s="473"/>
      <c r="H65" s="473"/>
      <c r="I65" s="473"/>
      <c r="J65" s="473"/>
      <c r="K65" s="472"/>
      <c r="L65" s="472"/>
      <c r="M65" s="473"/>
      <c r="N65" s="473"/>
      <c r="O65" s="31"/>
      <c r="P65" s="31"/>
      <c r="Q65" s="1115"/>
      <c r="R65" s="1115"/>
      <c r="S65" s="31"/>
      <c r="T65" s="1249"/>
      <c r="U65" s="661">
        <f>+'5สรุปรายงบ (66 พลางก่อน)'!F8-'5สรุปรายงบ (66 พลางก่อน)'!H8-'5สรุปรายงบ (66 พลางก่อน)'!I8</f>
        <v>10871695</v>
      </c>
      <c r="V65" s="31"/>
      <c r="W65" s="1115"/>
      <c r="X65" s="1128"/>
    </row>
    <row r="66" spans="2:38" s="1091" customFormat="1" ht="15.75" x14ac:dyDescent="0.25">
      <c r="B66" s="31"/>
      <c r="C66" s="31" t="s">
        <v>510</v>
      </c>
      <c r="D66" s="474">
        <f>+'5สรุปรายงบ (66 พลางก่อน)'!F8</f>
        <v>9898080</v>
      </c>
      <c r="E66" s="473"/>
      <c r="F66" s="473" t="s">
        <v>513</v>
      </c>
      <c r="G66" s="473"/>
      <c r="H66" s="1264">
        <f>+T61</f>
        <v>12686328.09</v>
      </c>
      <c r="I66" s="473"/>
      <c r="J66" s="473"/>
      <c r="K66" s="472"/>
      <c r="L66" s="472"/>
      <c r="M66" s="473"/>
      <c r="N66" s="473"/>
      <c r="O66" s="31"/>
      <c r="P66" s="31"/>
      <c r="Q66" s="31"/>
      <c r="R66" s="31"/>
      <c r="S66" s="31"/>
      <c r="T66" s="1252"/>
      <c r="U66" s="661"/>
      <c r="V66" s="31"/>
      <c r="W66" s="31"/>
      <c r="X66" s="1128"/>
      <c r="Y66" s="1128"/>
      <c r="Z66" s="1128"/>
      <c r="AA66" s="1128"/>
      <c r="AB66" s="1128"/>
      <c r="AC66" s="1128"/>
      <c r="AD66" s="1128"/>
      <c r="AE66" s="1128"/>
      <c r="AF66" s="1128"/>
      <c r="AG66" s="1128"/>
      <c r="AH66" s="1128"/>
      <c r="AI66" s="1128"/>
      <c r="AJ66" s="1128"/>
      <c r="AK66" s="1128"/>
      <c r="AL66" s="1128"/>
    </row>
    <row r="67" spans="2:38" s="1091" customFormat="1" ht="15.75" x14ac:dyDescent="0.25">
      <c r="B67" s="31"/>
      <c r="C67" s="31" t="s">
        <v>511</v>
      </c>
      <c r="D67" s="474">
        <f>+D61</f>
        <v>22595570.409999996</v>
      </c>
      <c r="E67" s="473"/>
      <c r="F67" s="473" t="s">
        <v>514</v>
      </c>
      <c r="G67" s="473"/>
      <c r="H67" s="1264">
        <f>+D66-H66</f>
        <v>-2788248.09</v>
      </c>
      <c r="I67" s="473"/>
      <c r="J67" s="473" t="s">
        <v>519</v>
      </c>
      <c r="K67" s="472"/>
      <c r="L67" s="472" t="e">
        <f>+'5สรุปรายงบ (66 พลางก่อน)'!#REF!-'1. แผน-ผลการใช้จ่าย ส.ค. - ก.ย.'!M49-M40-M39</f>
        <v>#REF!</v>
      </c>
      <c r="M67" s="473"/>
      <c r="N67" s="473"/>
      <c r="O67" s="31"/>
      <c r="P67" s="31"/>
      <c r="Q67" s="31"/>
      <c r="R67" s="31"/>
      <c r="S67" s="31"/>
      <c r="T67" s="1252"/>
      <c r="U67" s="1115">
        <f>+U49+U40+U39</f>
        <v>3479082.41</v>
      </c>
      <c r="V67" s="31"/>
      <c r="W67" s="31"/>
      <c r="X67" s="1128"/>
      <c r="Y67" s="1128"/>
      <c r="Z67" s="1128"/>
      <c r="AA67" s="1128"/>
      <c r="AB67" s="1128"/>
      <c r="AC67" s="1128"/>
      <c r="AD67" s="1128"/>
      <c r="AE67" s="1128"/>
      <c r="AF67" s="1128"/>
      <c r="AG67" s="1128"/>
      <c r="AH67" s="1128"/>
      <c r="AI67" s="1128"/>
      <c r="AJ67" s="1128"/>
      <c r="AK67" s="1128"/>
      <c r="AL67" s="1128"/>
    </row>
    <row r="68" spans="2:38" s="1091" customFormat="1" ht="15.75" x14ac:dyDescent="0.25">
      <c r="B68" s="31"/>
      <c r="C68" s="31" t="s">
        <v>512</v>
      </c>
      <c r="D68" s="474">
        <f>+D66-D67</f>
        <v>-12697490.409999996</v>
      </c>
      <c r="E68" s="473"/>
      <c r="F68" s="473"/>
      <c r="G68" s="473"/>
      <c r="H68" s="473"/>
      <c r="I68" s="473"/>
      <c r="J68" s="473"/>
      <c r="K68" s="472"/>
      <c r="L68" s="472"/>
      <c r="M68" s="473"/>
      <c r="N68" s="473"/>
      <c r="O68" s="31"/>
      <c r="P68" s="31"/>
      <c r="Q68" s="31"/>
      <c r="R68" s="31"/>
      <c r="S68" s="31"/>
      <c r="T68" s="1252"/>
      <c r="U68" s="31"/>
      <c r="V68" s="31"/>
      <c r="W68" s="31"/>
      <c r="X68" s="1128"/>
      <c r="Y68" s="1128"/>
      <c r="Z68" s="1128"/>
      <c r="AA68" s="1128"/>
      <c r="AB68" s="1128"/>
      <c r="AC68" s="1128"/>
      <c r="AD68" s="1128"/>
      <c r="AE68" s="1128"/>
      <c r="AF68" s="1128"/>
      <c r="AG68" s="1128"/>
      <c r="AH68" s="1128"/>
      <c r="AI68" s="1128"/>
      <c r="AJ68" s="1128"/>
      <c r="AK68" s="1128"/>
      <c r="AL68" s="1128"/>
    </row>
    <row r="69" spans="2:38" s="1091" customFormat="1" ht="15.75" x14ac:dyDescent="0.25">
      <c r="B69" s="31"/>
      <c r="C69" s="31"/>
      <c r="D69" s="473"/>
      <c r="E69" s="473"/>
      <c r="F69" s="473"/>
      <c r="G69" s="473"/>
      <c r="H69" s="473"/>
      <c r="I69" s="473"/>
      <c r="J69" s="473"/>
      <c r="K69" s="472"/>
      <c r="L69" s="472"/>
      <c r="M69" s="473"/>
      <c r="N69" s="473"/>
      <c r="O69" s="31"/>
      <c r="P69" s="31"/>
      <c r="Q69" s="31"/>
      <c r="R69" s="31"/>
      <c r="S69" s="31"/>
      <c r="T69" s="1252"/>
      <c r="U69" s="31"/>
      <c r="V69" s="31"/>
      <c r="W69" s="31"/>
      <c r="X69" s="1128"/>
      <c r="Y69" s="1128"/>
      <c r="Z69" s="1128"/>
      <c r="AA69" s="1128"/>
      <c r="AB69" s="1128"/>
      <c r="AC69" s="1128"/>
      <c r="AD69" s="1128"/>
      <c r="AE69" s="1128"/>
      <c r="AF69" s="1128"/>
      <c r="AG69" s="1128"/>
      <c r="AH69" s="1128"/>
      <c r="AI69" s="1128"/>
      <c r="AJ69" s="1128"/>
      <c r="AK69" s="1128"/>
      <c r="AL69" s="1128"/>
    </row>
    <row r="70" spans="2:38" s="1091" customFormat="1" ht="15.75" x14ac:dyDescent="0.25">
      <c r="B70" s="31"/>
      <c r="C70" s="31"/>
      <c r="D70" s="473">
        <f>+D41+D26</f>
        <v>18110015.409999996</v>
      </c>
      <c r="E70" s="473"/>
      <c r="F70" s="473">
        <f>+'2 จัดสรรให้ส่วนฝ่าย'!R6+'3 จัดสรรเพื่อบริหาร'!D41</f>
        <v>1427882.55</v>
      </c>
      <c r="G70" s="473"/>
      <c r="H70" s="473"/>
      <c r="I70" s="473"/>
      <c r="J70" s="473"/>
      <c r="K70" s="472"/>
      <c r="L70" s="472"/>
      <c r="M70" s="473"/>
      <c r="N70" s="473"/>
      <c r="O70" s="31"/>
      <c r="P70" s="31"/>
      <c r="Q70" s="31"/>
      <c r="R70" s="31"/>
      <c r="S70" s="31"/>
      <c r="T70" s="31"/>
      <c r="U70" s="31"/>
      <c r="V70" s="31"/>
      <c r="W70" s="31"/>
      <c r="X70" s="1128"/>
      <c r="Y70" s="1128"/>
      <c r="Z70" s="1128"/>
      <c r="AA70" s="1128"/>
      <c r="AB70" s="1128"/>
      <c r="AC70" s="1128"/>
      <c r="AD70" s="1128"/>
      <c r="AE70" s="1128"/>
      <c r="AF70" s="1128"/>
      <c r="AG70" s="1128"/>
      <c r="AH70" s="1128"/>
      <c r="AI70" s="1128"/>
      <c r="AJ70" s="1128"/>
      <c r="AK70" s="1128"/>
      <c r="AL70" s="1128"/>
    </row>
    <row r="71" spans="2:38" s="1091" customFormat="1" ht="15.75" x14ac:dyDescent="0.25">
      <c r="B71" s="31"/>
      <c r="C71" s="31"/>
      <c r="D71" s="473"/>
      <c r="E71" s="473"/>
      <c r="F71" s="473"/>
      <c r="G71" s="473"/>
      <c r="H71" s="473"/>
      <c r="I71" s="473"/>
      <c r="J71" s="473"/>
      <c r="K71" s="472"/>
      <c r="L71" s="472"/>
      <c r="M71" s="473"/>
      <c r="N71" s="473"/>
      <c r="O71" s="31"/>
      <c r="P71" s="31"/>
      <c r="Q71" s="31"/>
      <c r="R71" s="31"/>
      <c r="S71" s="31"/>
      <c r="T71" s="31"/>
      <c r="U71" s="31"/>
      <c r="V71" s="31"/>
      <c r="W71" s="31"/>
      <c r="X71" s="1128"/>
      <c r="Y71" s="1128"/>
      <c r="Z71" s="1128"/>
      <c r="AA71" s="1128"/>
      <c r="AB71" s="1128"/>
      <c r="AC71" s="1128"/>
      <c r="AD71" s="1128"/>
      <c r="AE71" s="1128"/>
      <c r="AF71" s="1128"/>
      <c r="AG71" s="1128"/>
      <c r="AH71" s="1128"/>
      <c r="AI71" s="1128"/>
      <c r="AJ71" s="1128"/>
      <c r="AK71" s="1128"/>
      <c r="AL71" s="1128"/>
    </row>
  </sheetData>
  <mergeCells count="25">
    <mergeCell ref="E13:F13"/>
    <mergeCell ref="L13:M13"/>
    <mergeCell ref="L14:M14"/>
    <mergeCell ref="R24:U24"/>
    <mergeCell ref="E6:F6"/>
    <mergeCell ref="M7:N7"/>
    <mergeCell ref="M9:N9"/>
    <mergeCell ref="E10:F10"/>
    <mergeCell ref="E24:E25"/>
    <mergeCell ref="F24:F25"/>
    <mergeCell ref="G24:N24"/>
    <mergeCell ref="A61:C61"/>
    <mergeCell ref="E15:F15"/>
    <mergeCell ref="E16:F16"/>
    <mergeCell ref="E17:F17"/>
    <mergeCell ref="A24:C25"/>
    <mergeCell ref="A23:X23"/>
    <mergeCell ref="X24:X25"/>
    <mergeCell ref="V24:V25"/>
    <mergeCell ref="D24:D25"/>
    <mergeCell ref="A1:N1"/>
    <mergeCell ref="M3:N3"/>
    <mergeCell ref="E4:F4"/>
    <mergeCell ref="M4:N4"/>
    <mergeCell ref="E5:F5"/>
  </mergeCells>
  <pageMargins left="3.937007874015748E-2" right="3.937007874015748E-2" top="0" bottom="0" header="0.31496062992125984" footer="0.31496062992125984"/>
  <pageSetup scale="88" orientation="landscape" r:id="rId1"/>
  <rowBreaks count="1" manualBreakCount="1">
    <brk id="65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GQ35"/>
  <sheetViews>
    <sheetView workbookViewId="0">
      <pane ySplit="5" topLeftCell="A6" activePane="bottomLeft" state="frozen"/>
      <selection pane="bottomLeft" activeCell="G9" sqref="G9"/>
    </sheetView>
  </sheetViews>
  <sheetFormatPr defaultColWidth="6.42578125" defaultRowHeight="18.75" x14ac:dyDescent="0.3"/>
  <cols>
    <col min="1" max="1" width="27.140625" style="1266" customWidth="1"/>
    <col min="2" max="2" width="9.28515625" style="1266" customWidth="1"/>
    <col min="3" max="3" width="10" style="1266" customWidth="1"/>
    <col min="4" max="4" width="8.85546875" style="1266" customWidth="1"/>
    <col min="5" max="5" width="8.140625" style="1266" customWidth="1"/>
    <col min="6" max="6" width="7.42578125" style="1266" customWidth="1"/>
    <col min="7" max="7" width="9.42578125" style="1266" customWidth="1"/>
    <col min="8" max="10" width="7.7109375" style="1266" customWidth="1"/>
    <col min="11" max="11" width="7.5703125" style="1266" customWidth="1"/>
    <col min="12" max="12" width="8.7109375" style="1266" customWidth="1"/>
    <col min="13" max="13" width="7.5703125" style="1266" customWidth="1"/>
    <col min="14" max="14" width="8.5703125" style="1266" customWidth="1"/>
    <col min="15" max="15" width="7.28515625" style="1266" customWidth="1"/>
    <col min="16" max="16" width="8.85546875" style="1266" customWidth="1"/>
    <col min="17" max="17" width="26.140625" style="1266" customWidth="1"/>
    <col min="18" max="19" width="7.28515625" style="1266" customWidth="1"/>
    <col min="20" max="20" width="7.28515625" style="1376" customWidth="1"/>
    <col min="21" max="21" width="26.140625" style="1266" customWidth="1"/>
    <col min="22" max="22" width="6.140625" style="1266" customWidth="1"/>
    <col min="23" max="23" width="6" style="1266" customWidth="1"/>
    <col min="24" max="24" width="6.5703125" style="1376" customWidth="1"/>
    <col min="25" max="28" width="9" style="1266" customWidth="1"/>
    <col min="29" max="29" width="7.85546875" style="1266" customWidth="1"/>
    <col min="30" max="30" width="8.140625" style="1376" customWidth="1"/>
    <col min="31" max="31" width="11.7109375" style="1266" customWidth="1"/>
    <col min="32" max="231" width="9.140625" style="1266" customWidth="1"/>
    <col min="232" max="232" width="20.140625" style="1266" customWidth="1"/>
    <col min="233" max="243" width="0" style="1266" hidden="1" customWidth="1"/>
    <col min="244" max="244" width="7.140625" style="1266" customWidth="1"/>
    <col min="245" max="246" width="6.5703125" style="1266" customWidth="1"/>
    <col min="247" max="247" width="7.28515625" style="1266" customWidth="1"/>
    <col min="248" max="248" width="7.7109375" style="1266" customWidth="1"/>
    <col min="249" max="249" width="7.5703125" style="1266" customWidth="1"/>
    <col min="250" max="250" width="0" style="1266" hidden="1" customWidth="1"/>
    <col min="251" max="251" width="7.140625" style="1266" customWidth="1"/>
    <col min="252" max="252" width="0" style="1266" hidden="1" customWidth="1"/>
    <col min="253" max="254" width="7.28515625" style="1266" customWidth="1"/>
    <col min="255" max="255" width="7.140625" style="1266" customWidth="1"/>
    <col min="256" max="16384" width="6.42578125" style="1266"/>
  </cols>
  <sheetData>
    <row r="1" spans="1:199" ht="19.5" thickBot="1" x14ac:dyDescent="0.35"/>
    <row r="2" spans="1:199" ht="22.5" customHeight="1" thickBot="1" x14ac:dyDescent="0.35">
      <c r="A2" s="3222" t="s">
        <v>586</v>
      </c>
      <c r="B2" s="3223"/>
      <c r="C2" s="3223"/>
      <c r="D2" s="3223"/>
      <c r="E2" s="3223"/>
      <c r="F2" s="3223"/>
      <c r="G2" s="3223"/>
      <c r="H2" s="3223"/>
      <c r="I2" s="3223"/>
      <c r="J2" s="3223"/>
      <c r="K2" s="3223"/>
      <c r="L2" s="3223"/>
      <c r="M2" s="3223"/>
      <c r="N2" s="3223"/>
      <c r="O2" s="3223"/>
      <c r="P2" s="3224"/>
      <c r="Q2" s="3223" t="s">
        <v>586</v>
      </c>
      <c r="R2" s="3223"/>
      <c r="S2" s="3223"/>
      <c r="T2" s="3223"/>
      <c r="U2" s="3223"/>
      <c r="V2" s="3223"/>
      <c r="W2" s="3223"/>
      <c r="X2" s="3223"/>
      <c r="Y2" s="3223"/>
      <c r="Z2" s="3223"/>
      <c r="AA2" s="3223"/>
      <c r="AB2" s="3223"/>
      <c r="AC2" s="3223"/>
      <c r="AD2" s="3223"/>
      <c r="AE2" s="3224"/>
    </row>
    <row r="3" spans="1:199" ht="60" customHeight="1" thickBot="1" x14ac:dyDescent="0.35">
      <c r="A3" s="1455" t="s">
        <v>145</v>
      </c>
      <c r="B3" s="1456" t="s">
        <v>574</v>
      </c>
      <c r="C3" s="1455" t="s">
        <v>6</v>
      </c>
      <c r="D3" s="1457" t="s">
        <v>21</v>
      </c>
      <c r="E3" s="3225" t="s">
        <v>525</v>
      </c>
      <c r="F3" s="3225"/>
      <c r="G3" s="3226"/>
      <c r="H3" s="3227" t="s">
        <v>526</v>
      </c>
      <c r="I3" s="3225"/>
      <c r="J3" s="3226"/>
      <c r="K3" s="3228" t="s">
        <v>20</v>
      </c>
      <c r="L3" s="3228"/>
      <c r="M3" s="3228"/>
      <c r="N3" s="3227" t="s">
        <v>528</v>
      </c>
      <c r="O3" s="3225"/>
      <c r="P3" s="3226"/>
      <c r="Q3" s="1559" t="s">
        <v>145</v>
      </c>
      <c r="R3" s="3227" t="s">
        <v>529</v>
      </c>
      <c r="S3" s="3225"/>
      <c r="T3" s="3226"/>
      <c r="U3" s="1455" t="s">
        <v>145</v>
      </c>
      <c r="V3" s="3227" t="s">
        <v>530</v>
      </c>
      <c r="W3" s="3225"/>
      <c r="X3" s="3226"/>
      <c r="Y3" s="3229" t="s">
        <v>531</v>
      </c>
      <c r="Z3" s="3229"/>
      <c r="AA3" s="3229"/>
      <c r="AB3" s="3227" t="s">
        <v>532</v>
      </c>
      <c r="AC3" s="3225"/>
      <c r="AD3" s="3226"/>
      <c r="AE3" s="3196" t="s">
        <v>28</v>
      </c>
      <c r="AF3" s="1267"/>
      <c r="AG3" s="1267"/>
      <c r="AH3" s="1267"/>
      <c r="AI3" s="1267"/>
      <c r="AJ3" s="1267"/>
      <c r="AK3" s="1267"/>
      <c r="AL3" s="1267"/>
      <c r="AM3" s="1267"/>
      <c r="AN3" s="1267"/>
      <c r="AO3" s="1267"/>
      <c r="AP3" s="1267"/>
      <c r="AQ3" s="1267"/>
      <c r="AR3" s="1267"/>
      <c r="AS3" s="1267"/>
      <c r="AT3" s="1267"/>
      <c r="AU3" s="1267"/>
      <c r="AV3" s="1267"/>
      <c r="AW3" s="1267"/>
      <c r="AX3" s="1267"/>
      <c r="AY3" s="1267"/>
      <c r="AZ3" s="1267"/>
      <c r="BA3" s="1267"/>
      <c r="BB3" s="1267"/>
      <c r="BC3" s="1267"/>
      <c r="BD3" s="1267"/>
      <c r="BE3" s="1267"/>
      <c r="BF3" s="1267"/>
      <c r="BG3" s="1267"/>
      <c r="BH3" s="1267"/>
      <c r="BI3" s="1267"/>
      <c r="BJ3" s="1267"/>
      <c r="BK3" s="1267"/>
      <c r="BL3" s="1267"/>
      <c r="BM3" s="1267"/>
      <c r="BN3" s="1267"/>
      <c r="BO3" s="1267"/>
      <c r="BP3" s="1267"/>
      <c r="BQ3" s="1267"/>
      <c r="BR3" s="1267"/>
      <c r="BS3" s="1267"/>
      <c r="BT3" s="1267"/>
      <c r="BU3" s="1267"/>
      <c r="BV3" s="1267"/>
      <c r="BW3" s="1267"/>
      <c r="BX3" s="1267"/>
      <c r="BY3" s="1267"/>
      <c r="BZ3" s="1267"/>
      <c r="CA3" s="1267"/>
      <c r="CB3" s="1267"/>
      <c r="CC3" s="1267"/>
      <c r="CD3" s="1267"/>
      <c r="CE3" s="1267"/>
      <c r="CF3" s="1267"/>
      <c r="CG3" s="1267"/>
      <c r="CH3" s="1267"/>
      <c r="CI3" s="1267"/>
      <c r="CJ3" s="1267"/>
      <c r="CK3" s="1267"/>
      <c r="CL3" s="1267"/>
      <c r="CM3" s="1267"/>
      <c r="CN3" s="1267"/>
      <c r="CO3" s="1267"/>
      <c r="CP3" s="1267"/>
      <c r="CQ3" s="1267"/>
      <c r="CR3" s="1267"/>
      <c r="CS3" s="1267"/>
      <c r="CT3" s="1267"/>
      <c r="CU3" s="1267"/>
      <c r="CV3" s="1267"/>
      <c r="CW3" s="1267"/>
      <c r="CX3" s="1267"/>
      <c r="CY3" s="1267"/>
      <c r="CZ3" s="1267"/>
      <c r="DA3" s="1267"/>
      <c r="DB3" s="1267"/>
      <c r="DC3" s="1267"/>
      <c r="DD3" s="1267"/>
      <c r="DE3" s="1267"/>
      <c r="DF3" s="1267"/>
      <c r="DG3" s="1267"/>
      <c r="DH3" s="1267"/>
      <c r="DI3" s="1267"/>
      <c r="DJ3" s="1267"/>
      <c r="DK3" s="1267"/>
      <c r="DL3" s="1267"/>
      <c r="DM3" s="1267"/>
      <c r="DN3" s="1267"/>
      <c r="DO3" s="1267"/>
      <c r="DP3" s="1267"/>
      <c r="DQ3" s="1267"/>
      <c r="DR3" s="1267"/>
      <c r="DS3" s="1267"/>
      <c r="DT3" s="1267"/>
      <c r="DU3" s="1267"/>
      <c r="DV3" s="1267"/>
      <c r="DW3" s="1267"/>
      <c r="DX3" s="1267"/>
      <c r="DY3" s="1267"/>
      <c r="DZ3" s="1267"/>
      <c r="EA3" s="1267"/>
      <c r="EB3" s="1267"/>
      <c r="EC3" s="1267"/>
      <c r="ED3" s="1267"/>
      <c r="EE3" s="1267"/>
      <c r="EF3" s="1267"/>
      <c r="EG3" s="1267"/>
      <c r="EH3" s="1267"/>
      <c r="EI3" s="1267"/>
      <c r="EJ3" s="1267"/>
      <c r="EK3" s="1267"/>
      <c r="EL3" s="1267"/>
      <c r="EM3" s="1267"/>
      <c r="EN3" s="1267"/>
      <c r="EO3" s="1267"/>
      <c r="EP3" s="1267"/>
      <c r="EQ3" s="1267"/>
      <c r="ER3" s="1267"/>
      <c r="ES3" s="1267"/>
      <c r="ET3" s="1267"/>
      <c r="EU3" s="1267"/>
      <c r="EV3" s="1267"/>
      <c r="EW3" s="1267"/>
      <c r="EX3" s="1267"/>
      <c r="EY3" s="1267"/>
      <c r="EZ3" s="1267"/>
      <c r="FA3" s="1267"/>
      <c r="FB3" s="1267"/>
      <c r="FC3" s="1267"/>
      <c r="FD3" s="1267"/>
      <c r="FE3" s="1267"/>
      <c r="FF3" s="1267"/>
      <c r="FG3" s="1267"/>
      <c r="FH3" s="1267"/>
      <c r="FI3" s="1267"/>
      <c r="FJ3" s="1267"/>
      <c r="FK3" s="1267"/>
      <c r="FL3" s="1267"/>
      <c r="FM3" s="1267"/>
      <c r="FN3" s="1267"/>
      <c r="FO3" s="1267"/>
      <c r="FP3" s="1267"/>
      <c r="FQ3" s="1267"/>
      <c r="FR3" s="1267"/>
      <c r="FS3" s="1267"/>
      <c r="FT3" s="1267"/>
      <c r="FU3" s="1267"/>
      <c r="FV3" s="1267"/>
      <c r="FW3" s="1267"/>
      <c r="FX3" s="1267"/>
      <c r="FY3" s="1267"/>
      <c r="FZ3" s="1267"/>
      <c r="GA3" s="1267"/>
      <c r="GB3" s="1267"/>
      <c r="GC3" s="1267"/>
      <c r="GD3" s="1267"/>
      <c r="GE3" s="1267"/>
      <c r="GF3" s="1267"/>
      <c r="GG3" s="1267"/>
      <c r="GH3" s="1267"/>
      <c r="GI3" s="1267"/>
      <c r="GJ3" s="1267"/>
      <c r="GK3" s="1267"/>
      <c r="GL3" s="1267"/>
      <c r="GM3" s="1267"/>
      <c r="GN3" s="1267"/>
      <c r="GO3" s="1267"/>
      <c r="GP3" s="1267"/>
      <c r="GQ3" s="1267"/>
    </row>
    <row r="4" spans="1:199" x14ac:dyDescent="0.3">
      <c r="A4" s="1389" t="s">
        <v>0</v>
      </c>
      <c r="B4" s="1458" t="s">
        <v>451</v>
      </c>
      <c r="C4" s="1459" t="s">
        <v>546</v>
      </c>
      <c r="D4" s="1459" t="s">
        <v>543</v>
      </c>
      <c r="E4" s="1278" t="s">
        <v>543</v>
      </c>
      <c r="F4" s="1272" t="s">
        <v>544</v>
      </c>
      <c r="G4" s="1273" t="s">
        <v>28</v>
      </c>
      <c r="H4" s="1275" t="s">
        <v>543</v>
      </c>
      <c r="I4" s="1272" t="s">
        <v>544</v>
      </c>
      <c r="J4" s="1277" t="s">
        <v>28</v>
      </c>
      <c r="K4" s="1274" t="s">
        <v>543</v>
      </c>
      <c r="L4" s="1272" t="s">
        <v>544</v>
      </c>
      <c r="M4" s="1273" t="s">
        <v>28</v>
      </c>
      <c r="N4" s="1275" t="s">
        <v>543</v>
      </c>
      <c r="O4" s="1272" t="s">
        <v>544</v>
      </c>
      <c r="P4" s="1273" t="s">
        <v>28</v>
      </c>
      <c r="Q4" s="1560" t="s">
        <v>0</v>
      </c>
      <c r="R4" s="1275" t="s">
        <v>543</v>
      </c>
      <c r="S4" s="1272" t="s">
        <v>544</v>
      </c>
      <c r="T4" s="1273" t="s">
        <v>28</v>
      </c>
      <c r="U4" s="1381" t="s">
        <v>0</v>
      </c>
      <c r="V4" s="1275" t="s">
        <v>543</v>
      </c>
      <c r="W4" s="1272" t="s">
        <v>544</v>
      </c>
      <c r="X4" s="1273" t="s">
        <v>28</v>
      </c>
      <c r="Y4" s="1275" t="s">
        <v>543</v>
      </c>
      <c r="Z4" s="1272" t="s">
        <v>544</v>
      </c>
      <c r="AA4" s="1277" t="s">
        <v>28</v>
      </c>
      <c r="AB4" s="1279" t="s">
        <v>543</v>
      </c>
      <c r="AC4" s="1281" t="s">
        <v>544</v>
      </c>
      <c r="AD4" s="1273" t="s">
        <v>28</v>
      </c>
      <c r="AE4" s="3197"/>
    </row>
    <row r="5" spans="1:199" x14ac:dyDescent="0.3">
      <c r="A5" s="1390" t="s">
        <v>28</v>
      </c>
      <c r="B5" s="1289">
        <f>+B6+B26</f>
        <v>80000</v>
      </c>
      <c r="C5" s="1460">
        <f>+C6+C26</f>
        <v>676600</v>
      </c>
      <c r="D5" s="1460">
        <f>+D6+D26</f>
        <v>122200</v>
      </c>
      <c r="E5" s="1288">
        <f>+E6+E26</f>
        <v>171360</v>
      </c>
      <c r="F5" s="1284">
        <f>+F6+F26</f>
        <v>34920</v>
      </c>
      <c r="G5" s="1285">
        <f>SUM(E5:F5)</f>
        <v>206280</v>
      </c>
      <c r="H5" s="1284">
        <f>+H6+H26</f>
        <v>102200</v>
      </c>
      <c r="I5" s="1284">
        <f>+I6+I26</f>
        <v>11400</v>
      </c>
      <c r="J5" s="1287">
        <f>SUM(H5:I5)</f>
        <v>113600</v>
      </c>
      <c r="K5" s="1286">
        <f>+K6+K26</f>
        <v>106500</v>
      </c>
      <c r="L5" s="1284">
        <f>+L6+L26</f>
        <v>3300</v>
      </c>
      <c r="M5" s="1285">
        <f>SUM(K5:L5)</f>
        <v>109800</v>
      </c>
      <c r="N5" s="1284">
        <f>+N6+N26</f>
        <v>88560</v>
      </c>
      <c r="O5" s="1284">
        <f>+O6+O26</f>
        <v>34160</v>
      </c>
      <c r="P5" s="1285">
        <f>SUM(N5:O5)</f>
        <v>122720</v>
      </c>
      <c r="Q5" s="1561" t="s">
        <v>28</v>
      </c>
      <c r="R5" s="1284">
        <f>+R6+R26</f>
        <v>1500</v>
      </c>
      <c r="S5" s="1284">
        <f>+S6+S26</f>
        <v>1500</v>
      </c>
      <c r="T5" s="1285">
        <f>+R5+S5</f>
        <v>3000</v>
      </c>
      <c r="U5" s="1382" t="s">
        <v>28</v>
      </c>
      <c r="V5" s="1284">
        <f>+V6+V26</f>
        <v>500</v>
      </c>
      <c r="W5" s="1284">
        <f>+W6+W26</f>
        <v>500</v>
      </c>
      <c r="X5" s="1285">
        <f>+V5+W5</f>
        <v>1000</v>
      </c>
      <c r="Y5" s="1284">
        <f>+Y6+Y26</f>
        <v>163810</v>
      </c>
      <c r="Z5" s="1284">
        <f>+Z6+Z26</f>
        <v>156480</v>
      </c>
      <c r="AA5" s="1287">
        <f t="shared" ref="AA5:AA12" si="0">SUM(Y5:Z5)</f>
        <v>320290</v>
      </c>
      <c r="AB5" s="1286">
        <f>+AB6+AB26</f>
        <v>64250</v>
      </c>
      <c r="AC5" s="1284">
        <f>+AC6+AC26</f>
        <v>39350</v>
      </c>
      <c r="AD5" s="1285">
        <f>SUM(AB5:AC5)</f>
        <v>103600</v>
      </c>
      <c r="AE5" s="1414">
        <f>+B5+C5+D5+G5+J5+M5+P5+T5+X5+AA5+AD5</f>
        <v>1859090</v>
      </c>
      <c r="AF5" s="1291"/>
      <c r="AG5" s="1291"/>
      <c r="AH5" s="1291"/>
      <c r="AI5" s="1291"/>
      <c r="AJ5" s="1291"/>
      <c r="AK5" s="1291"/>
      <c r="AL5" s="1291"/>
      <c r="AM5" s="1291"/>
      <c r="AN5" s="1291"/>
      <c r="AO5" s="1291"/>
      <c r="AP5" s="1291"/>
      <c r="AQ5" s="1291"/>
      <c r="AR5" s="1291"/>
      <c r="AS5" s="1291"/>
      <c r="AT5" s="1291"/>
      <c r="AU5" s="1291"/>
      <c r="AV5" s="1291"/>
      <c r="AW5" s="1291"/>
      <c r="AX5" s="1291"/>
      <c r="AY5" s="1291"/>
      <c r="AZ5" s="1291"/>
      <c r="BA5" s="1291"/>
      <c r="BB5" s="1291"/>
      <c r="BC5" s="1291"/>
      <c r="BD5" s="1291"/>
      <c r="BE5" s="1291"/>
      <c r="BF5" s="1291"/>
      <c r="BG5" s="1291"/>
      <c r="BH5" s="1291"/>
      <c r="BI5" s="1291"/>
      <c r="BJ5" s="1291"/>
      <c r="BK5" s="1291"/>
      <c r="BL5" s="1291"/>
      <c r="BM5" s="1291"/>
      <c r="BN5" s="1291"/>
      <c r="BO5" s="1291"/>
      <c r="BP5" s="1291"/>
      <c r="BQ5" s="1291"/>
      <c r="BR5" s="1291"/>
      <c r="BS5" s="1291"/>
      <c r="BT5" s="1291"/>
      <c r="BU5" s="1291"/>
      <c r="BV5" s="1291"/>
      <c r="BW5" s="1291"/>
      <c r="BX5" s="1291"/>
      <c r="BY5" s="1291"/>
      <c r="BZ5" s="1291"/>
      <c r="CA5" s="1291"/>
      <c r="CB5" s="1291"/>
      <c r="CC5" s="1291"/>
      <c r="CD5" s="1291"/>
      <c r="CE5" s="1291"/>
      <c r="CF5" s="1291"/>
      <c r="CG5" s="1291"/>
      <c r="CH5" s="1291"/>
      <c r="CI5" s="1291"/>
      <c r="CJ5" s="1291"/>
      <c r="CK5" s="1291"/>
      <c r="CL5" s="1291"/>
      <c r="CM5" s="1291"/>
      <c r="CN5" s="1291"/>
      <c r="CO5" s="1291"/>
      <c r="CP5" s="1291"/>
      <c r="CQ5" s="1291"/>
      <c r="CR5" s="1291"/>
      <c r="CS5" s="1291"/>
      <c r="CT5" s="1291"/>
      <c r="CU5" s="1291"/>
      <c r="CV5" s="1291"/>
      <c r="CW5" s="1291"/>
      <c r="CX5" s="1291"/>
      <c r="CY5" s="1291"/>
      <c r="CZ5" s="1291"/>
      <c r="DA5" s="1291"/>
      <c r="DB5" s="1291"/>
      <c r="DC5" s="1291"/>
      <c r="DD5" s="1291"/>
      <c r="DE5" s="1291"/>
      <c r="DF5" s="1291"/>
      <c r="DG5" s="1291"/>
      <c r="DH5" s="1291"/>
      <c r="DI5" s="1291"/>
      <c r="DJ5" s="1291"/>
      <c r="DK5" s="1291"/>
      <c r="DL5" s="1291"/>
      <c r="DM5" s="1291"/>
      <c r="DN5" s="1291"/>
      <c r="DO5" s="1291"/>
      <c r="DP5" s="1291"/>
      <c r="DQ5" s="1291"/>
      <c r="DR5" s="1291"/>
      <c r="DS5" s="1291"/>
      <c r="DT5" s="1291"/>
      <c r="DU5" s="1291"/>
      <c r="DV5" s="1291"/>
      <c r="DW5" s="1291"/>
      <c r="DX5" s="1291"/>
      <c r="DY5" s="1291"/>
      <c r="DZ5" s="1291"/>
      <c r="EA5" s="1291"/>
      <c r="EB5" s="1291"/>
      <c r="EC5" s="1291"/>
      <c r="ED5" s="1291"/>
      <c r="EE5" s="1291"/>
      <c r="EF5" s="1291"/>
      <c r="EG5" s="1291"/>
      <c r="EH5" s="1291"/>
      <c r="EI5" s="1291"/>
      <c r="EJ5" s="1291"/>
      <c r="EK5" s="1291"/>
      <c r="EL5" s="1291"/>
      <c r="EM5" s="1291"/>
      <c r="EN5" s="1291"/>
      <c r="EO5" s="1291"/>
      <c r="EP5" s="1291"/>
      <c r="EQ5" s="1291"/>
      <c r="ER5" s="1291"/>
      <c r="ES5" s="1291"/>
      <c r="ET5" s="1291"/>
      <c r="EU5" s="1291"/>
      <c r="EV5" s="1291"/>
      <c r="EW5" s="1291"/>
      <c r="EX5" s="1291"/>
      <c r="EY5" s="1291"/>
      <c r="EZ5" s="1291"/>
      <c r="FA5" s="1291"/>
      <c r="FB5" s="1291"/>
      <c r="FC5" s="1291"/>
      <c r="FD5" s="1291"/>
      <c r="FE5" s="1291"/>
      <c r="FF5" s="1291"/>
      <c r="FG5" s="1291"/>
      <c r="FH5" s="1291"/>
      <c r="FI5" s="1291"/>
      <c r="FJ5" s="1291"/>
      <c r="FK5" s="1291"/>
      <c r="FL5" s="1291"/>
      <c r="FM5" s="1291"/>
      <c r="FN5" s="1291"/>
      <c r="FO5" s="1291"/>
      <c r="FP5" s="1291"/>
      <c r="FQ5" s="1291"/>
      <c r="FR5" s="1291"/>
      <c r="FS5" s="1291"/>
      <c r="FT5" s="1291"/>
      <c r="FU5" s="1291"/>
      <c r="FV5" s="1291"/>
      <c r="FW5" s="1291"/>
      <c r="FX5" s="1291"/>
      <c r="FY5" s="1291"/>
      <c r="FZ5" s="1291"/>
      <c r="GA5" s="1291"/>
      <c r="GB5" s="1291"/>
      <c r="GC5" s="1291"/>
      <c r="GD5" s="1291"/>
      <c r="GE5" s="1291"/>
      <c r="GF5" s="1291"/>
      <c r="GG5" s="1291"/>
      <c r="GH5" s="1291"/>
      <c r="GI5" s="1291"/>
      <c r="GJ5" s="1291"/>
      <c r="GK5" s="1291"/>
      <c r="GL5" s="1291"/>
      <c r="GM5" s="1291"/>
      <c r="GN5" s="1291"/>
      <c r="GO5" s="1291"/>
      <c r="GP5" s="1291"/>
      <c r="GQ5" s="1291"/>
    </row>
    <row r="6" spans="1:199" x14ac:dyDescent="0.3">
      <c r="A6" s="1396" t="s">
        <v>548</v>
      </c>
      <c r="B6" s="1461">
        <f>+B7+B11+B20</f>
        <v>80000</v>
      </c>
      <c r="C6" s="1462">
        <f>+C7+C11+C20</f>
        <v>676600</v>
      </c>
      <c r="D6" s="1462">
        <f>+D7+D11+D20</f>
        <v>122200</v>
      </c>
      <c r="E6" s="1298">
        <f>+E7+E11+E20</f>
        <v>169860</v>
      </c>
      <c r="F6" s="1295">
        <f>+F7+F11+F20</f>
        <v>33420</v>
      </c>
      <c r="G6" s="1296">
        <f>+E6+F6</f>
        <v>203280</v>
      </c>
      <c r="H6" s="1295">
        <f>+H7+H11+H20</f>
        <v>102200</v>
      </c>
      <c r="I6" s="1295">
        <f>+I7+I11+I20</f>
        <v>11400</v>
      </c>
      <c r="J6" s="1299">
        <f>SUM(H6:I6)</f>
        <v>113600</v>
      </c>
      <c r="K6" s="1297">
        <f>+K7+K11+K20</f>
        <v>106000</v>
      </c>
      <c r="L6" s="1295">
        <f>+L7+L11+L20</f>
        <v>2800</v>
      </c>
      <c r="M6" s="1296">
        <f>SUM(K6:L6)</f>
        <v>108800</v>
      </c>
      <c r="N6" s="1295">
        <f>+N7+N11+N20</f>
        <v>88560</v>
      </c>
      <c r="O6" s="1295">
        <f>+O7+O11+O20</f>
        <v>34160</v>
      </c>
      <c r="P6" s="1296">
        <f>SUM(N6:O6)</f>
        <v>122720</v>
      </c>
      <c r="Q6" s="1556" t="s">
        <v>548</v>
      </c>
      <c r="R6" s="1295">
        <f>+R7+R11+R20</f>
        <v>0</v>
      </c>
      <c r="S6" s="1295">
        <f>+S7+S11+S20</f>
        <v>0</v>
      </c>
      <c r="T6" s="1296"/>
      <c r="U6" s="1388" t="s">
        <v>548</v>
      </c>
      <c r="V6" s="1295">
        <f>+V7+V11+V20</f>
        <v>0</v>
      </c>
      <c r="W6" s="1295">
        <f>+W7+W11+W20</f>
        <v>0</v>
      </c>
      <c r="X6" s="1296">
        <f>+V6+W6</f>
        <v>0</v>
      </c>
      <c r="Y6" s="1295">
        <f>+Y7+Y11+Y20</f>
        <v>163810</v>
      </c>
      <c r="Z6" s="1295">
        <f>+Z7+Z11+Z20</f>
        <v>156480</v>
      </c>
      <c r="AA6" s="1299">
        <f t="shared" si="0"/>
        <v>320290</v>
      </c>
      <c r="AB6" s="1297">
        <f>+AB7+AB11+AB20</f>
        <v>64250</v>
      </c>
      <c r="AC6" s="1295">
        <f>+AC7+AC11+AC20</f>
        <v>39350</v>
      </c>
      <c r="AD6" s="1296">
        <f>SUM(AB6:AC6)</f>
        <v>103600</v>
      </c>
      <c r="AE6" s="1296">
        <f>+B6+C6+D6+G6+J6+M6+P6+T6+X6+AA6+AD6</f>
        <v>1851090</v>
      </c>
      <c r="AF6" s="1291"/>
      <c r="AG6" s="1291"/>
      <c r="AH6" s="1291"/>
      <c r="AI6" s="1291"/>
      <c r="AJ6" s="1291"/>
      <c r="AK6" s="1291"/>
      <c r="AL6" s="1291"/>
      <c r="AM6" s="1291"/>
      <c r="AN6" s="1291"/>
      <c r="AO6" s="1291"/>
      <c r="AP6" s="1291"/>
      <c r="AQ6" s="1291"/>
      <c r="AR6" s="1291"/>
      <c r="AS6" s="1291"/>
      <c r="AT6" s="1291"/>
      <c r="AU6" s="1291"/>
      <c r="AV6" s="1291"/>
      <c r="AW6" s="1291"/>
      <c r="AX6" s="1291"/>
      <c r="AY6" s="1291"/>
      <c r="AZ6" s="1291"/>
      <c r="BA6" s="1291"/>
      <c r="BB6" s="1291"/>
      <c r="BC6" s="1291"/>
      <c r="BD6" s="1291"/>
      <c r="BE6" s="1291"/>
      <c r="BF6" s="1291"/>
      <c r="BG6" s="1291"/>
      <c r="BH6" s="1291"/>
      <c r="BI6" s="1291"/>
      <c r="BJ6" s="1291"/>
      <c r="BK6" s="1291"/>
      <c r="BL6" s="1291"/>
      <c r="BM6" s="1291"/>
      <c r="BN6" s="1291"/>
      <c r="BO6" s="1291"/>
      <c r="BP6" s="1291"/>
      <c r="BQ6" s="1291"/>
      <c r="BR6" s="1291"/>
      <c r="BS6" s="1291"/>
      <c r="BT6" s="1291"/>
      <c r="BU6" s="1291"/>
      <c r="BV6" s="1291"/>
      <c r="BW6" s="1291"/>
      <c r="BX6" s="1291"/>
      <c r="BY6" s="1291"/>
      <c r="BZ6" s="1291"/>
      <c r="CA6" s="1291"/>
      <c r="CB6" s="1291"/>
      <c r="CC6" s="1291"/>
      <c r="CD6" s="1291"/>
      <c r="CE6" s="1291"/>
      <c r="CF6" s="1291"/>
      <c r="CG6" s="1291"/>
      <c r="CH6" s="1291"/>
      <c r="CI6" s="1291"/>
      <c r="CJ6" s="1291"/>
      <c r="CK6" s="1291"/>
      <c r="CL6" s="1291"/>
      <c r="CM6" s="1291"/>
      <c r="CN6" s="1291"/>
      <c r="CO6" s="1291"/>
      <c r="CP6" s="1291"/>
      <c r="CQ6" s="1291"/>
      <c r="CR6" s="1291"/>
      <c r="CS6" s="1291"/>
      <c r="CT6" s="1291"/>
      <c r="CU6" s="1291"/>
      <c r="CV6" s="1291"/>
      <c r="CW6" s="1291"/>
      <c r="CX6" s="1291"/>
      <c r="CY6" s="1291"/>
      <c r="CZ6" s="1291"/>
      <c r="DA6" s="1291"/>
      <c r="DB6" s="1291"/>
      <c r="DC6" s="1291"/>
      <c r="DD6" s="1291"/>
      <c r="DE6" s="1291"/>
      <c r="DF6" s="1291"/>
      <c r="DG6" s="1291"/>
      <c r="DH6" s="1291"/>
      <c r="DI6" s="1291"/>
      <c r="DJ6" s="1291"/>
      <c r="DK6" s="1291"/>
      <c r="DL6" s="1291"/>
      <c r="DM6" s="1291"/>
      <c r="DN6" s="1291"/>
      <c r="DO6" s="1291"/>
      <c r="DP6" s="1291"/>
      <c r="DQ6" s="1291"/>
      <c r="DR6" s="1291"/>
      <c r="DS6" s="1291"/>
      <c r="DT6" s="1291"/>
      <c r="DU6" s="1291"/>
      <c r="DV6" s="1291"/>
      <c r="DW6" s="1291"/>
      <c r="DX6" s="1291"/>
      <c r="DY6" s="1291"/>
      <c r="DZ6" s="1291"/>
      <c r="EA6" s="1291"/>
      <c r="EB6" s="1291"/>
      <c r="EC6" s="1291"/>
      <c r="ED6" s="1291"/>
      <c r="EE6" s="1291"/>
      <c r="EF6" s="1291"/>
      <c r="EG6" s="1291"/>
      <c r="EH6" s="1291"/>
      <c r="EI6" s="1291"/>
      <c r="EJ6" s="1291"/>
      <c r="EK6" s="1291"/>
      <c r="EL6" s="1291"/>
      <c r="EM6" s="1291"/>
      <c r="EN6" s="1291"/>
      <c r="EO6" s="1291"/>
      <c r="EP6" s="1291"/>
      <c r="EQ6" s="1291"/>
      <c r="ER6" s="1291"/>
      <c r="ES6" s="1291"/>
      <c r="ET6" s="1291"/>
      <c r="EU6" s="1291"/>
      <c r="EV6" s="1291"/>
      <c r="EW6" s="1291"/>
      <c r="EX6" s="1291"/>
      <c r="EY6" s="1291"/>
      <c r="EZ6" s="1291"/>
      <c r="FA6" s="1291"/>
      <c r="FB6" s="1291"/>
      <c r="FC6" s="1291"/>
      <c r="FD6" s="1291"/>
      <c r="FE6" s="1291"/>
      <c r="FF6" s="1291"/>
      <c r="FG6" s="1291"/>
      <c r="FH6" s="1291"/>
      <c r="FI6" s="1291"/>
      <c r="FJ6" s="1291"/>
      <c r="FK6" s="1291"/>
      <c r="FL6" s="1291"/>
      <c r="FM6" s="1291"/>
      <c r="FN6" s="1291"/>
      <c r="FO6" s="1291"/>
      <c r="FP6" s="1291"/>
      <c r="FQ6" s="1291"/>
      <c r="FR6" s="1291"/>
      <c r="FS6" s="1291"/>
      <c r="FT6" s="1291"/>
      <c r="FU6" s="1291"/>
      <c r="FV6" s="1291"/>
      <c r="FW6" s="1291"/>
      <c r="FX6" s="1291"/>
      <c r="FY6" s="1291"/>
      <c r="FZ6" s="1291"/>
      <c r="GA6" s="1291"/>
      <c r="GB6" s="1291"/>
      <c r="GC6" s="1291"/>
      <c r="GD6" s="1291"/>
      <c r="GE6" s="1291"/>
      <c r="GF6" s="1291"/>
      <c r="GG6" s="1291"/>
      <c r="GH6" s="1291"/>
      <c r="GI6" s="1291"/>
      <c r="GJ6" s="1291"/>
      <c r="GK6" s="1291"/>
      <c r="GL6" s="1291"/>
      <c r="GM6" s="1291"/>
      <c r="GN6" s="1291"/>
      <c r="GO6" s="1291"/>
      <c r="GP6" s="1291"/>
      <c r="GQ6" s="1291"/>
    </row>
    <row r="7" spans="1:199" x14ac:dyDescent="0.3">
      <c r="A7" s="1395" t="s">
        <v>549</v>
      </c>
      <c r="B7" s="1463">
        <f>SUM(B8:B10)</f>
        <v>0</v>
      </c>
      <c r="C7" s="1464">
        <f>SUM(C8:C10)</f>
        <v>0</v>
      </c>
      <c r="D7" s="1464">
        <f>SUM(D8:D10)</f>
        <v>0</v>
      </c>
      <c r="E7" s="1350">
        <f>SUM(E8:E10)</f>
        <v>0</v>
      </c>
      <c r="F7" s="1347">
        <f>SUM(F8:F10)</f>
        <v>0</v>
      </c>
      <c r="G7" s="1348"/>
      <c r="H7" s="1347">
        <f>SUM(H8:H10)</f>
        <v>25200</v>
      </c>
      <c r="I7" s="1347">
        <f>SUM(I8:I10)</f>
        <v>8400</v>
      </c>
      <c r="J7" s="1351">
        <f>SUM(H7:I7)</f>
        <v>33600</v>
      </c>
      <c r="K7" s="1349">
        <f>SUM(K8:K10)</f>
        <v>7000</v>
      </c>
      <c r="L7" s="1347">
        <f>SUM(L8:L10)</f>
        <v>2800</v>
      </c>
      <c r="M7" s="1348">
        <f>SUM(K7:L7)</f>
        <v>9800</v>
      </c>
      <c r="N7" s="1347">
        <f>SUM(N8:N10)</f>
        <v>0</v>
      </c>
      <c r="O7" s="1347">
        <f>SUM(O8:O10)</f>
        <v>0</v>
      </c>
      <c r="P7" s="1348"/>
      <c r="Q7" s="1555" t="s">
        <v>549</v>
      </c>
      <c r="R7" s="1347">
        <f>SUM(R8:R10)</f>
        <v>0</v>
      </c>
      <c r="S7" s="1347">
        <f>SUM(S8:S10)</f>
        <v>0</v>
      </c>
      <c r="T7" s="1348"/>
      <c r="U7" s="1387" t="s">
        <v>549</v>
      </c>
      <c r="V7" s="1347">
        <f>SUM(V8:V10)</f>
        <v>0</v>
      </c>
      <c r="W7" s="1347">
        <f>SUM(W8:W10)</f>
        <v>0</v>
      </c>
      <c r="X7" s="1348"/>
      <c r="Y7" s="1347">
        <f>SUM(Y8:Y10)</f>
        <v>0</v>
      </c>
      <c r="Z7" s="1347">
        <f>SUM(Z8:Z10)</f>
        <v>0</v>
      </c>
      <c r="AA7" s="1351">
        <f t="shared" si="0"/>
        <v>0</v>
      </c>
      <c r="AB7" s="1349">
        <f>SUM(AB8:AB10)</f>
        <v>33200</v>
      </c>
      <c r="AC7" s="1347">
        <f>SUM(AC8:AC10)</f>
        <v>38300</v>
      </c>
      <c r="AD7" s="1348">
        <f>SUM(AB7:AC7)</f>
        <v>71500</v>
      </c>
      <c r="AE7" s="1348">
        <f>+B7+C7+D7+G7+J7+M7+P7+T7+X7+AA7+AD7</f>
        <v>114900</v>
      </c>
      <c r="AF7" s="1291"/>
      <c r="AG7" s="1291"/>
      <c r="AH7" s="1291"/>
      <c r="AI7" s="1291"/>
      <c r="AJ7" s="1291"/>
      <c r="AK7" s="1291"/>
      <c r="AL7" s="1291"/>
      <c r="AM7" s="1291"/>
      <c r="AN7" s="1291"/>
      <c r="AO7" s="1291"/>
      <c r="AP7" s="1291"/>
      <c r="AQ7" s="1291"/>
      <c r="AR7" s="1291"/>
      <c r="AS7" s="1291"/>
      <c r="AT7" s="1291"/>
      <c r="AU7" s="1291"/>
      <c r="AV7" s="1291"/>
      <c r="AW7" s="1291"/>
      <c r="AX7" s="1291"/>
      <c r="AY7" s="1291"/>
      <c r="AZ7" s="1291"/>
      <c r="BA7" s="1291"/>
      <c r="BB7" s="1291"/>
      <c r="BC7" s="1291"/>
      <c r="BD7" s="1291"/>
      <c r="BE7" s="1291"/>
      <c r="BF7" s="1291"/>
      <c r="BG7" s="1291"/>
      <c r="BH7" s="1291"/>
      <c r="BI7" s="1291"/>
      <c r="BJ7" s="1291"/>
      <c r="BK7" s="1291"/>
      <c r="BL7" s="1291"/>
      <c r="BM7" s="1291"/>
      <c r="BN7" s="1291"/>
      <c r="BO7" s="1291"/>
      <c r="BP7" s="1291"/>
      <c r="BQ7" s="1291"/>
      <c r="BR7" s="1291"/>
      <c r="BS7" s="1291"/>
      <c r="BT7" s="1291"/>
      <c r="BU7" s="1291"/>
      <c r="BV7" s="1291"/>
      <c r="BW7" s="1291"/>
      <c r="BX7" s="1291"/>
      <c r="BY7" s="1291"/>
      <c r="BZ7" s="1291"/>
      <c r="CA7" s="1291"/>
      <c r="CB7" s="1291"/>
      <c r="CC7" s="1291"/>
      <c r="CD7" s="1291"/>
      <c r="CE7" s="1291"/>
      <c r="CF7" s="1291"/>
      <c r="CG7" s="1291"/>
      <c r="CH7" s="1291"/>
      <c r="CI7" s="1291"/>
      <c r="CJ7" s="1291"/>
      <c r="CK7" s="1291"/>
      <c r="CL7" s="1291"/>
      <c r="CM7" s="1291"/>
      <c r="CN7" s="1291"/>
      <c r="CO7" s="1291"/>
      <c r="CP7" s="1291"/>
      <c r="CQ7" s="1291"/>
      <c r="CR7" s="1291"/>
      <c r="CS7" s="1291"/>
      <c r="CT7" s="1291"/>
      <c r="CU7" s="1291"/>
      <c r="CV7" s="1291"/>
      <c r="CW7" s="1291"/>
      <c r="CX7" s="1291"/>
      <c r="CY7" s="1291"/>
      <c r="CZ7" s="1291"/>
      <c r="DA7" s="1291"/>
      <c r="DB7" s="1291"/>
      <c r="DC7" s="1291"/>
      <c r="DD7" s="1291"/>
      <c r="DE7" s="1291"/>
      <c r="DF7" s="1291"/>
      <c r="DG7" s="1291"/>
      <c r="DH7" s="1291"/>
      <c r="DI7" s="1291"/>
      <c r="DJ7" s="1291"/>
      <c r="DK7" s="1291"/>
      <c r="DL7" s="1291"/>
      <c r="DM7" s="1291"/>
      <c r="DN7" s="1291"/>
      <c r="DO7" s="1291"/>
      <c r="DP7" s="1291"/>
      <c r="DQ7" s="1291"/>
      <c r="DR7" s="1291"/>
      <c r="DS7" s="1291"/>
      <c r="DT7" s="1291"/>
      <c r="DU7" s="1291"/>
      <c r="DV7" s="1291"/>
      <c r="DW7" s="1291"/>
      <c r="DX7" s="1291"/>
      <c r="DY7" s="1291"/>
      <c r="DZ7" s="1291"/>
      <c r="EA7" s="1291"/>
      <c r="EB7" s="1291"/>
      <c r="EC7" s="1291"/>
      <c r="ED7" s="1291"/>
      <c r="EE7" s="1291"/>
      <c r="EF7" s="1291"/>
      <c r="EG7" s="1291"/>
      <c r="EH7" s="1291"/>
      <c r="EI7" s="1291"/>
      <c r="EJ7" s="1291"/>
      <c r="EK7" s="1291"/>
      <c r="EL7" s="1291"/>
      <c r="EM7" s="1291"/>
      <c r="EN7" s="1291"/>
      <c r="EO7" s="1291"/>
      <c r="EP7" s="1291"/>
      <c r="EQ7" s="1291"/>
      <c r="ER7" s="1291"/>
      <c r="ES7" s="1291"/>
      <c r="ET7" s="1291"/>
      <c r="EU7" s="1291"/>
      <c r="EV7" s="1291"/>
      <c r="EW7" s="1291"/>
      <c r="EX7" s="1291"/>
      <c r="EY7" s="1291"/>
      <c r="EZ7" s="1291"/>
      <c r="FA7" s="1291"/>
      <c r="FB7" s="1291"/>
      <c r="FC7" s="1291"/>
      <c r="FD7" s="1291"/>
      <c r="FE7" s="1291"/>
      <c r="FF7" s="1291"/>
      <c r="FG7" s="1291"/>
      <c r="FH7" s="1291"/>
      <c r="FI7" s="1291"/>
      <c r="FJ7" s="1291"/>
      <c r="FK7" s="1291"/>
      <c r="FL7" s="1291"/>
      <c r="FM7" s="1291"/>
      <c r="FN7" s="1291"/>
      <c r="FO7" s="1291"/>
      <c r="FP7" s="1291"/>
      <c r="FQ7" s="1291"/>
      <c r="FR7" s="1291"/>
      <c r="FS7" s="1291"/>
      <c r="FT7" s="1291"/>
      <c r="FU7" s="1291"/>
      <c r="FV7" s="1291"/>
      <c r="FW7" s="1291"/>
      <c r="FX7" s="1291"/>
      <c r="FY7" s="1291"/>
      <c r="FZ7" s="1291"/>
      <c r="GA7" s="1291"/>
      <c r="GB7" s="1291"/>
      <c r="GC7" s="1291"/>
      <c r="GD7" s="1291"/>
      <c r="GE7" s="1291"/>
      <c r="GF7" s="1291"/>
      <c r="GG7" s="1291"/>
      <c r="GH7" s="1291"/>
      <c r="GI7" s="1291"/>
      <c r="GJ7" s="1291"/>
      <c r="GK7" s="1291"/>
      <c r="GL7" s="1291"/>
      <c r="GM7" s="1291"/>
      <c r="GN7" s="1291"/>
      <c r="GO7" s="1291"/>
      <c r="GP7" s="1291"/>
      <c r="GQ7" s="1291"/>
    </row>
    <row r="8" spans="1:199" x14ac:dyDescent="0.3">
      <c r="A8" s="1394" t="s">
        <v>550</v>
      </c>
      <c r="B8" s="1465"/>
      <c r="C8" s="1466"/>
      <c r="D8" s="1466"/>
      <c r="E8" s="1467"/>
      <c r="F8" s="1468"/>
      <c r="G8" s="1469"/>
      <c r="H8" s="1470">
        <v>25200</v>
      </c>
      <c r="I8" s="1470">
        <v>8400</v>
      </c>
      <c r="J8" s="1471">
        <f>SUM(H8:I8)</f>
        <v>33600</v>
      </c>
      <c r="K8" s="1472">
        <f>7*200*5</f>
        <v>7000</v>
      </c>
      <c r="L8" s="1353">
        <f>(7*200*4)-2800</f>
        <v>2800</v>
      </c>
      <c r="M8" s="1469">
        <f>SUM(K8:L8)</f>
        <v>9800</v>
      </c>
      <c r="N8" s="1468"/>
      <c r="O8" s="1468"/>
      <c r="P8" s="1469"/>
      <c r="Q8" s="1554" t="s">
        <v>550</v>
      </c>
      <c r="R8" s="1468"/>
      <c r="S8" s="1468"/>
      <c r="T8" s="1473"/>
      <c r="U8" s="1386" t="s">
        <v>550</v>
      </c>
      <c r="V8" s="1468"/>
      <c r="W8" s="1468"/>
      <c r="X8" s="1473"/>
      <c r="Y8" s="1474"/>
      <c r="Z8" s="1474"/>
      <c r="AA8" s="1471">
        <f t="shared" si="0"/>
        <v>0</v>
      </c>
      <c r="AB8" s="1475">
        <v>2000</v>
      </c>
      <c r="AC8" s="1468">
        <v>2000</v>
      </c>
      <c r="AD8" s="1473">
        <f>SUM(AB8:AC8)</f>
        <v>4000</v>
      </c>
      <c r="AE8" s="1340">
        <f>+B8+C8+D8+G8+J8+M8+P8+T8+X8+AA8+AD8</f>
        <v>47400</v>
      </c>
      <c r="AF8" s="1291"/>
      <c r="AG8" s="1291"/>
      <c r="AH8" s="1291"/>
      <c r="AI8" s="1291"/>
      <c r="AJ8" s="1291"/>
      <c r="AK8" s="1291"/>
      <c r="AL8" s="1291"/>
      <c r="AM8" s="1291"/>
      <c r="AN8" s="1291"/>
      <c r="AO8" s="1291"/>
      <c r="AP8" s="1291"/>
      <c r="AQ8" s="1291"/>
      <c r="AR8" s="1291"/>
      <c r="AS8" s="1291"/>
      <c r="AT8" s="1291"/>
      <c r="AU8" s="1291"/>
      <c r="AV8" s="1291"/>
      <c r="AW8" s="1291"/>
      <c r="AX8" s="1291"/>
      <c r="AY8" s="1291"/>
      <c r="AZ8" s="1291"/>
      <c r="BA8" s="1291"/>
      <c r="BB8" s="1291"/>
      <c r="BC8" s="1291"/>
      <c r="BD8" s="1291"/>
      <c r="BE8" s="1291"/>
      <c r="BF8" s="1291"/>
      <c r="BG8" s="1291"/>
      <c r="BH8" s="1291"/>
      <c r="BI8" s="1291"/>
      <c r="BJ8" s="1291"/>
      <c r="BK8" s="1291"/>
      <c r="BL8" s="1291"/>
      <c r="BM8" s="1291"/>
      <c r="BN8" s="1291"/>
      <c r="BO8" s="1291"/>
      <c r="BP8" s="1291"/>
      <c r="BQ8" s="1291"/>
      <c r="BR8" s="1291"/>
      <c r="BS8" s="1291"/>
      <c r="BT8" s="1291"/>
      <c r="BU8" s="1291"/>
      <c r="BV8" s="1291"/>
      <c r="BW8" s="1291"/>
      <c r="BX8" s="1291"/>
      <c r="BY8" s="1291"/>
      <c r="BZ8" s="1291"/>
      <c r="CA8" s="1291"/>
      <c r="CB8" s="1291"/>
      <c r="CC8" s="1291"/>
      <c r="CD8" s="1291"/>
      <c r="CE8" s="1291"/>
      <c r="CF8" s="1291"/>
      <c r="CG8" s="1291"/>
      <c r="CH8" s="1291"/>
      <c r="CI8" s="1291"/>
      <c r="CJ8" s="1291"/>
      <c r="CK8" s="1291"/>
      <c r="CL8" s="1291"/>
      <c r="CM8" s="1291"/>
      <c r="CN8" s="1291"/>
      <c r="CO8" s="1291"/>
      <c r="CP8" s="1291"/>
      <c r="CQ8" s="1291"/>
      <c r="CR8" s="1291"/>
      <c r="CS8" s="1291"/>
      <c r="CT8" s="1291"/>
      <c r="CU8" s="1291"/>
      <c r="CV8" s="1291"/>
      <c r="CW8" s="1291"/>
      <c r="CX8" s="1291"/>
      <c r="CY8" s="1291"/>
      <c r="CZ8" s="1291"/>
      <c r="DA8" s="1291"/>
      <c r="DB8" s="1291"/>
      <c r="DC8" s="1291"/>
      <c r="DD8" s="1291"/>
      <c r="DE8" s="1291"/>
      <c r="DF8" s="1291"/>
      <c r="DG8" s="1291"/>
      <c r="DH8" s="1291"/>
      <c r="DI8" s="1291"/>
      <c r="DJ8" s="1291"/>
      <c r="DK8" s="1291"/>
      <c r="DL8" s="1291"/>
      <c r="DM8" s="1291"/>
      <c r="DN8" s="1291"/>
      <c r="DO8" s="1291"/>
      <c r="DP8" s="1291"/>
      <c r="DQ8" s="1291"/>
      <c r="DR8" s="1291"/>
      <c r="DS8" s="1291"/>
      <c r="DT8" s="1291"/>
      <c r="DU8" s="1291"/>
      <c r="DV8" s="1291"/>
      <c r="DW8" s="1291"/>
      <c r="DX8" s="1291"/>
      <c r="DY8" s="1291"/>
      <c r="DZ8" s="1291"/>
      <c r="EA8" s="1291"/>
      <c r="EB8" s="1291"/>
      <c r="EC8" s="1291"/>
      <c r="ED8" s="1291"/>
      <c r="EE8" s="1291"/>
      <c r="EF8" s="1291"/>
      <c r="EG8" s="1291"/>
      <c r="EH8" s="1291"/>
      <c r="EI8" s="1291"/>
      <c r="EJ8" s="1291"/>
      <c r="EK8" s="1291"/>
      <c r="EL8" s="1291"/>
      <c r="EM8" s="1291"/>
      <c r="EN8" s="1291"/>
      <c r="EO8" s="1291"/>
      <c r="EP8" s="1291"/>
      <c r="EQ8" s="1291"/>
      <c r="ER8" s="1291"/>
      <c r="ES8" s="1291"/>
      <c r="ET8" s="1291"/>
      <c r="EU8" s="1291"/>
      <c r="EV8" s="1291"/>
      <c r="EW8" s="1291"/>
      <c r="EX8" s="1291"/>
      <c r="EY8" s="1291"/>
      <c r="EZ8" s="1291"/>
      <c r="FA8" s="1291"/>
      <c r="FB8" s="1291"/>
      <c r="FC8" s="1291"/>
      <c r="FD8" s="1291"/>
      <c r="FE8" s="1291"/>
      <c r="FF8" s="1291"/>
      <c r="FG8" s="1291"/>
      <c r="FH8" s="1291"/>
      <c r="FI8" s="1291"/>
      <c r="FJ8" s="1291"/>
      <c r="FK8" s="1291"/>
      <c r="FL8" s="1291"/>
      <c r="FM8" s="1291"/>
      <c r="FN8" s="1291"/>
      <c r="FO8" s="1291"/>
      <c r="FP8" s="1291"/>
      <c r="FQ8" s="1291"/>
      <c r="FR8" s="1291"/>
      <c r="FS8" s="1291"/>
      <c r="FT8" s="1291"/>
      <c r="FU8" s="1291"/>
      <c r="FV8" s="1291"/>
      <c r="FW8" s="1291"/>
      <c r="FX8" s="1291"/>
      <c r="FY8" s="1291"/>
      <c r="FZ8" s="1291"/>
      <c r="GA8" s="1291"/>
      <c r="GB8" s="1291"/>
      <c r="GC8" s="1291"/>
      <c r="GD8" s="1291"/>
      <c r="GE8" s="1291"/>
      <c r="GF8" s="1291"/>
      <c r="GG8" s="1291"/>
      <c r="GH8" s="1291"/>
      <c r="GI8" s="1291"/>
      <c r="GJ8" s="1291"/>
      <c r="GK8" s="1291"/>
      <c r="GL8" s="1291"/>
      <c r="GM8" s="1291"/>
      <c r="GN8" s="1291"/>
      <c r="GO8" s="1291"/>
      <c r="GP8" s="1291"/>
      <c r="GQ8" s="1291"/>
    </row>
    <row r="9" spans="1:199" x14ac:dyDescent="0.3">
      <c r="A9" s="1394" t="s">
        <v>551</v>
      </c>
      <c r="B9" s="1476"/>
      <c r="C9" s="1477"/>
      <c r="D9" s="1477"/>
      <c r="E9" s="1341"/>
      <c r="F9" s="1337"/>
      <c r="G9" s="1338"/>
      <c r="H9" s="1337"/>
      <c r="I9" s="1337"/>
      <c r="J9" s="1342"/>
      <c r="K9" s="1339"/>
      <c r="L9" s="1337"/>
      <c r="M9" s="1338"/>
      <c r="N9" s="1337"/>
      <c r="O9" s="1337"/>
      <c r="P9" s="1338"/>
      <c r="Q9" s="1554" t="s">
        <v>551</v>
      </c>
      <c r="R9" s="1337"/>
      <c r="S9" s="1337"/>
      <c r="T9" s="1340"/>
      <c r="U9" s="1386" t="s">
        <v>551</v>
      </c>
      <c r="V9" s="1337"/>
      <c r="W9" s="1337"/>
      <c r="X9" s="1340"/>
      <c r="Y9" s="1478"/>
      <c r="Z9" s="1478"/>
      <c r="AA9" s="1342">
        <f t="shared" si="0"/>
        <v>0</v>
      </c>
      <c r="AB9" s="1339">
        <f>SUM(8700*2)+7500+6300</f>
        <v>31200</v>
      </c>
      <c r="AC9" s="1337">
        <f>SUM(8700)+15000+12600</f>
        <v>36300</v>
      </c>
      <c r="AD9" s="1340">
        <f>SUM(AB9:AC9)</f>
        <v>67500</v>
      </c>
      <c r="AE9" s="1340">
        <f>+B9+C9+D9+G9+J9+M9+P9+T9+X9+AA9+AD9</f>
        <v>67500</v>
      </c>
      <c r="AF9" s="1291"/>
      <c r="AG9" s="1291"/>
      <c r="AH9" s="1291"/>
      <c r="AI9" s="1291"/>
      <c r="AJ9" s="1291"/>
      <c r="AK9" s="1291"/>
      <c r="AL9" s="1291"/>
      <c r="AM9" s="1291"/>
      <c r="AN9" s="1291"/>
      <c r="AO9" s="1291"/>
      <c r="AP9" s="1291"/>
      <c r="AQ9" s="1291"/>
      <c r="AR9" s="1291"/>
      <c r="AS9" s="1291"/>
      <c r="AT9" s="1291"/>
      <c r="AU9" s="1291"/>
      <c r="AV9" s="1291"/>
      <c r="AW9" s="1291"/>
      <c r="AX9" s="1291"/>
      <c r="AY9" s="1291"/>
      <c r="AZ9" s="1291"/>
      <c r="BA9" s="1291"/>
      <c r="BB9" s="1291"/>
      <c r="BC9" s="1291"/>
      <c r="BD9" s="1291"/>
      <c r="BE9" s="1291"/>
      <c r="BF9" s="1291"/>
      <c r="BG9" s="1291"/>
      <c r="BH9" s="1291"/>
      <c r="BI9" s="1291"/>
      <c r="BJ9" s="1291"/>
      <c r="BK9" s="1291"/>
      <c r="BL9" s="1291"/>
      <c r="BM9" s="1291"/>
      <c r="BN9" s="1291"/>
      <c r="BO9" s="1291"/>
      <c r="BP9" s="1291"/>
      <c r="BQ9" s="1291"/>
      <c r="BR9" s="1291"/>
      <c r="BS9" s="1291"/>
      <c r="BT9" s="1291"/>
      <c r="BU9" s="1291"/>
      <c r="BV9" s="1291"/>
      <c r="BW9" s="1291"/>
      <c r="BX9" s="1291"/>
      <c r="BY9" s="1291"/>
      <c r="BZ9" s="1291"/>
      <c r="CA9" s="1291"/>
      <c r="CB9" s="1291"/>
      <c r="CC9" s="1291"/>
      <c r="CD9" s="1291"/>
      <c r="CE9" s="1291"/>
      <c r="CF9" s="1291"/>
      <c r="CG9" s="1291"/>
      <c r="CH9" s="1291"/>
      <c r="CI9" s="1291"/>
      <c r="CJ9" s="1291"/>
      <c r="CK9" s="1291"/>
      <c r="CL9" s="1291"/>
      <c r="CM9" s="1291"/>
      <c r="CN9" s="1291"/>
      <c r="CO9" s="1291"/>
      <c r="CP9" s="1291"/>
      <c r="CQ9" s="1291"/>
      <c r="CR9" s="1291"/>
      <c r="CS9" s="1291"/>
      <c r="CT9" s="1291"/>
      <c r="CU9" s="1291"/>
      <c r="CV9" s="1291"/>
      <c r="CW9" s="1291"/>
      <c r="CX9" s="1291"/>
      <c r="CY9" s="1291"/>
      <c r="CZ9" s="1291"/>
      <c r="DA9" s="1291"/>
      <c r="DB9" s="1291"/>
      <c r="DC9" s="1291"/>
      <c r="DD9" s="1291"/>
      <c r="DE9" s="1291"/>
      <c r="DF9" s="1291"/>
      <c r="DG9" s="1291"/>
      <c r="DH9" s="1291"/>
      <c r="DI9" s="1291"/>
      <c r="DJ9" s="1291"/>
      <c r="DK9" s="1291"/>
      <c r="DL9" s="1291"/>
      <c r="DM9" s="1291"/>
      <c r="DN9" s="1291"/>
      <c r="DO9" s="1291"/>
      <c r="DP9" s="1291"/>
      <c r="DQ9" s="1291"/>
      <c r="DR9" s="1291"/>
      <c r="DS9" s="1291"/>
      <c r="DT9" s="1291"/>
      <c r="DU9" s="1291"/>
      <c r="DV9" s="1291"/>
      <c r="DW9" s="1291"/>
      <c r="DX9" s="1291"/>
      <c r="DY9" s="1291"/>
      <c r="DZ9" s="1291"/>
      <c r="EA9" s="1291"/>
      <c r="EB9" s="1291"/>
      <c r="EC9" s="1291"/>
      <c r="ED9" s="1291"/>
      <c r="EE9" s="1291"/>
      <c r="EF9" s="1291"/>
      <c r="EG9" s="1291"/>
      <c r="EH9" s="1291"/>
      <c r="EI9" s="1291"/>
      <c r="EJ9" s="1291"/>
      <c r="EK9" s="1291"/>
      <c r="EL9" s="1291"/>
      <c r="EM9" s="1291"/>
      <c r="EN9" s="1291"/>
      <c r="EO9" s="1291"/>
      <c r="EP9" s="1291"/>
      <c r="EQ9" s="1291"/>
      <c r="ER9" s="1291"/>
      <c r="ES9" s="1291"/>
      <c r="ET9" s="1291"/>
      <c r="EU9" s="1291"/>
      <c r="EV9" s="1291"/>
      <c r="EW9" s="1291"/>
      <c r="EX9" s="1291"/>
      <c r="EY9" s="1291"/>
      <c r="EZ9" s="1291"/>
      <c r="FA9" s="1291"/>
      <c r="FB9" s="1291"/>
      <c r="FC9" s="1291"/>
      <c r="FD9" s="1291"/>
      <c r="FE9" s="1291"/>
      <c r="FF9" s="1291"/>
      <c r="FG9" s="1291"/>
      <c r="FH9" s="1291"/>
      <c r="FI9" s="1291"/>
      <c r="FJ9" s="1291"/>
      <c r="FK9" s="1291"/>
      <c r="FL9" s="1291"/>
      <c r="FM9" s="1291"/>
      <c r="FN9" s="1291"/>
      <c r="FO9" s="1291"/>
      <c r="FP9" s="1291"/>
      <c r="FQ9" s="1291"/>
      <c r="FR9" s="1291"/>
      <c r="FS9" s="1291"/>
      <c r="FT9" s="1291"/>
      <c r="FU9" s="1291"/>
      <c r="FV9" s="1291"/>
      <c r="FW9" s="1291"/>
      <c r="FX9" s="1291"/>
      <c r="FY9" s="1291"/>
      <c r="FZ9" s="1291"/>
      <c r="GA9" s="1291"/>
      <c r="GB9" s="1291"/>
      <c r="GC9" s="1291"/>
      <c r="GD9" s="1291"/>
      <c r="GE9" s="1291"/>
      <c r="GF9" s="1291"/>
      <c r="GG9" s="1291"/>
      <c r="GH9" s="1291"/>
      <c r="GI9" s="1291"/>
      <c r="GJ9" s="1291"/>
      <c r="GK9" s="1291"/>
      <c r="GL9" s="1291"/>
      <c r="GM9" s="1291"/>
      <c r="GN9" s="1291"/>
      <c r="GO9" s="1291"/>
      <c r="GP9" s="1291"/>
      <c r="GQ9" s="1291"/>
    </row>
    <row r="10" spans="1:199" hidden="1" x14ac:dyDescent="0.3">
      <c r="A10" s="1394" t="s">
        <v>552</v>
      </c>
      <c r="B10" s="1476"/>
      <c r="C10" s="1477"/>
      <c r="D10" s="1477"/>
      <c r="E10" s="1341"/>
      <c r="F10" s="1337"/>
      <c r="G10" s="1338"/>
      <c r="H10" s="1337"/>
      <c r="I10" s="1337"/>
      <c r="J10" s="1342"/>
      <c r="K10" s="1339"/>
      <c r="L10" s="1337"/>
      <c r="M10" s="1338"/>
      <c r="N10" s="1337"/>
      <c r="O10" s="1337"/>
      <c r="P10" s="1338"/>
      <c r="Q10" s="1554" t="s">
        <v>552</v>
      </c>
      <c r="R10" s="1337"/>
      <c r="S10" s="1337"/>
      <c r="T10" s="1340"/>
      <c r="U10" s="1386" t="s">
        <v>552</v>
      </c>
      <c r="V10" s="1337"/>
      <c r="W10" s="1337"/>
      <c r="X10" s="1340"/>
      <c r="Y10" s="1337"/>
      <c r="Z10" s="1337"/>
      <c r="AA10" s="1342">
        <f t="shared" si="0"/>
        <v>0</v>
      </c>
      <c r="AB10" s="1339"/>
      <c r="AC10" s="1337"/>
      <c r="AD10" s="1340"/>
      <c r="AE10" s="1417" t="e">
        <f>++#REF!+#REF!+#REF!+G10+J10+M10+P10+#REF!+X10+AA10+AD10</f>
        <v>#REF!</v>
      </c>
      <c r="AF10" s="1291"/>
      <c r="AG10" s="1291"/>
      <c r="AH10" s="1291"/>
      <c r="AI10" s="1291"/>
      <c r="AJ10" s="1291"/>
      <c r="AK10" s="1291"/>
      <c r="AL10" s="1291"/>
      <c r="AM10" s="1291"/>
      <c r="AN10" s="1291"/>
      <c r="AO10" s="1291"/>
      <c r="AP10" s="1291"/>
      <c r="AQ10" s="1291"/>
      <c r="AR10" s="1291"/>
      <c r="AS10" s="1291"/>
      <c r="AT10" s="1291"/>
      <c r="AU10" s="1291"/>
      <c r="AV10" s="1291"/>
      <c r="AW10" s="1291"/>
      <c r="AX10" s="1291"/>
      <c r="AY10" s="1291"/>
      <c r="AZ10" s="1291"/>
      <c r="BA10" s="1291"/>
      <c r="BB10" s="1291"/>
      <c r="BC10" s="1291"/>
      <c r="BD10" s="1291"/>
      <c r="BE10" s="1291"/>
      <c r="BF10" s="1291"/>
      <c r="BG10" s="1291"/>
      <c r="BH10" s="1291"/>
      <c r="BI10" s="1291"/>
      <c r="BJ10" s="1291"/>
      <c r="BK10" s="1291"/>
      <c r="BL10" s="1291"/>
      <c r="BM10" s="1291"/>
      <c r="BN10" s="1291"/>
      <c r="BO10" s="1291"/>
      <c r="BP10" s="1291"/>
      <c r="BQ10" s="1291"/>
      <c r="BR10" s="1291"/>
      <c r="BS10" s="1291"/>
      <c r="BT10" s="1291"/>
      <c r="BU10" s="1291"/>
      <c r="BV10" s="1291"/>
      <c r="BW10" s="1291"/>
      <c r="BX10" s="1291"/>
      <c r="BY10" s="1291"/>
      <c r="BZ10" s="1291"/>
      <c r="CA10" s="1291"/>
      <c r="CB10" s="1291"/>
      <c r="CC10" s="1291"/>
      <c r="CD10" s="1291"/>
      <c r="CE10" s="1291"/>
      <c r="CF10" s="1291"/>
      <c r="CG10" s="1291"/>
      <c r="CH10" s="1291"/>
      <c r="CI10" s="1291"/>
      <c r="CJ10" s="1291"/>
      <c r="CK10" s="1291"/>
      <c r="CL10" s="1291"/>
      <c r="CM10" s="1291"/>
      <c r="CN10" s="1291"/>
      <c r="CO10" s="1291"/>
      <c r="CP10" s="1291"/>
      <c r="CQ10" s="1291"/>
      <c r="CR10" s="1291"/>
      <c r="CS10" s="1291"/>
      <c r="CT10" s="1291"/>
      <c r="CU10" s="1291"/>
      <c r="CV10" s="1291"/>
      <c r="CW10" s="1291"/>
      <c r="CX10" s="1291"/>
      <c r="CY10" s="1291"/>
      <c r="CZ10" s="1291"/>
      <c r="DA10" s="1291"/>
      <c r="DB10" s="1291"/>
      <c r="DC10" s="1291"/>
      <c r="DD10" s="1291"/>
      <c r="DE10" s="1291"/>
      <c r="DF10" s="1291"/>
      <c r="DG10" s="1291"/>
      <c r="DH10" s="1291"/>
      <c r="DI10" s="1291"/>
      <c r="DJ10" s="1291"/>
      <c r="DK10" s="1291"/>
      <c r="DL10" s="1291"/>
      <c r="DM10" s="1291"/>
      <c r="DN10" s="1291"/>
      <c r="DO10" s="1291"/>
      <c r="DP10" s="1291"/>
      <c r="DQ10" s="1291"/>
      <c r="DR10" s="1291"/>
      <c r="DS10" s="1291"/>
      <c r="DT10" s="1291"/>
      <c r="DU10" s="1291"/>
      <c r="DV10" s="1291"/>
      <c r="DW10" s="1291"/>
      <c r="DX10" s="1291"/>
      <c r="DY10" s="1291"/>
      <c r="DZ10" s="1291"/>
      <c r="EA10" s="1291"/>
      <c r="EB10" s="1291"/>
      <c r="EC10" s="1291"/>
      <c r="ED10" s="1291"/>
      <c r="EE10" s="1291"/>
      <c r="EF10" s="1291"/>
      <c r="EG10" s="1291"/>
      <c r="EH10" s="1291"/>
      <c r="EI10" s="1291"/>
      <c r="EJ10" s="1291"/>
      <c r="EK10" s="1291"/>
      <c r="EL10" s="1291"/>
      <c r="EM10" s="1291"/>
      <c r="EN10" s="1291"/>
      <c r="EO10" s="1291"/>
      <c r="EP10" s="1291"/>
      <c r="EQ10" s="1291"/>
      <c r="ER10" s="1291"/>
      <c r="ES10" s="1291"/>
      <c r="ET10" s="1291"/>
      <c r="EU10" s="1291"/>
      <c r="EV10" s="1291"/>
      <c r="EW10" s="1291"/>
      <c r="EX10" s="1291"/>
      <c r="EY10" s="1291"/>
      <c r="EZ10" s="1291"/>
      <c r="FA10" s="1291"/>
      <c r="FB10" s="1291"/>
      <c r="FC10" s="1291"/>
      <c r="FD10" s="1291"/>
      <c r="FE10" s="1291"/>
      <c r="FF10" s="1291"/>
      <c r="FG10" s="1291"/>
      <c r="FH10" s="1291"/>
      <c r="FI10" s="1291"/>
      <c r="FJ10" s="1291"/>
      <c r="FK10" s="1291"/>
      <c r="FL10" s="1291"/>
      <c r="FM10" s="1291"/>
      <c r="FN10" s="1291"/>
      <c r="FO10" s="1291"/>
      <c r="FP10" s="1291"/>
      <c r="FQ10" s="1291"/>
      <c r="FR10" s="1291"/>
      <c r="FS10" s="1291"/>
      <c r="FT10" s="1291"/>
      <c r="FU10" s="1291"/>
      <c r="FV10" s="1291"/>
      <c r="FW10" s="1291"/>
      <c r="FX10" s="1291"/>
      <c r="FY10" s="1291"/>
      <c r="FZ10" s="1291"/>
      <c r="GA10" s="1291"/>
      <c r="GB10" s="1291"/>
      <c r="GC10" s="1291"/>
      <c r="GD10" s="1291"/>
      <c r="GE10" s="1291"/>
      <c r="GF10" s="1291"/>
      <c r="GG10" s="1291"/>
      <c r="GH10" s="1291"/>
      <c r="GI10" s="1291"/>
      <c r="GJ10" s="1291"/>
      <c r="GK10" s="1291"/>
      <c r="GL10" s="1291"/>
      <c r="GM10" s="1291"/>
      <c r="GN10" s="1291"/>
      <c r="GO10" s="1291"/>
      <c r="GP10" s="1291"/>
      <c r="GQ10" s="1291"/>
    </row>
    <row r="11" spans="1:199" x14ac:dyDescent="0.3">
      <c r="A11" s="1395" t="s">
        <v>553</v>
      </c>
      <c r="B11" s="1463">
        <f>SUM(B12:B18)</f>
        <v>0</v>
      </c>
      <c r="C11" s="1464">
        <f>SUM(C12:C18)</f>
        <v>126600</v>
      </c>
      <c r="D11" s="1464">
        <f>SUM(D12:D18)</f>
        <v>95000</v>
      </c>
      <c r="E11" s="1350">
        <f>SUM(E12:E18)</f>
        <v>135360</v>
      </c>
      <c r="F11" s="1347">
        <f>SUM(F12:F18)</f>
        <v>33420</v>
      </c>
      <c r="G11" s="1348">
        <f>SUM(E11:F11)</f>
        <v>168780</v>
      </c>
      <c r="H11" s="1347">
        <f>SUM(H12:H19)</f>
        <v>2000</v>
      </c>
      <c r="I11" s="1347">
        <f>SUM(I12:I19)</f>
        <v>3000</v>
      </c>
      <c r="J11" s="1351">
        <f>SUM(H11:I11)</f>
        <v>5000</v>
      </c>
      <c r="K11" s="1349">
        <f>SUM(K12:K18)</f>
        <v>0</v>
      </c>
      <c r="L11" s="1347">
        <f>SUM(L12:L18)</f>
        <v>0</v>
      </c>
      <c r="M11" s="1348"/>
      <c r="N11" s="1347">
        <f>SUM(N12:N18)</f>
        <v>18560</v>
      </c>
      <c r="O11" s="1347">
        <f>SUM(O12:O18)</f>
        <v>34160</v>
      </c>
      <c r="P11" s="1348">
        <f>SUM(N11:O11)</f>
        <v>52720</v>
      </c>
      <c r="Q11" s="1555" t="s">
        <v>553</v>
      </c>
      <c r="R11" s="1347">
        <f>SUM(R12:R18)</f>
        <v>0</v>
      </c>
      <c r="S11" s="1347">
        <f>SUM(S12:S18)</f>
        <v>0</v>
      </c>
      <c r="T11" s="1348"/>
      <c r="U11" s="1387" t="s">
        <v>553</v>
      </c>
      <c r="V11" s="1347">
        <f>SUM(V12:V18)</f>
        <v>0</v>
      </c>
      <c r="W11" s="1347">
        <f>SUM(W12:W18)</f>
        <v>0</v>
      </c>
      <c r="X11" s="1348"/>
      <c r="Y11" s="1347">
        <f>SUM(Y12:Y19)</f>
        <v>144412</v>
      </c>
      <c r="Z11" s="1347">
        <f>SUM(Z12:Z19)</f>
        <v>156480</v>
      </c>
      <c r="AA11" s="1351">
        <f t="shared" si="0"/>
        <v>300892</v>
      </c>
      <c r="AB11" s="1349">
        <f>SUM(AB12:AB19)</f>
        <v>1050</v>
      </c>
      <c r="AC11" s="1347">
        <f>SUM(AC12:AC19)</f>
        <v>1050</v>
      </c>
      <c r="AD11" s="1348">
        <f>SUM(AB11:AC11)</f>
        <v>2100</v>
      </c>
      <c r="AE11" s="1348">
        <f t="shared" ref="AE11:AE27" si="1">+B11+C11+D11+G11+J11+M11+P11+T11+X11+AA11+AD11</f>
        <v>751092</v>
      </c>
      <c r="AF11" s="1291"/>
      <c r="AG11" s="1291"/>
      <c r="AH11" s="1291"/>
      <c r="AI11" s="1291"/>
      <c r="AJ11" s="1291"/>
      <c r="AK11" s="1291"/>
      <c r="AL11" s="1291"/>
      <c r="AM11" s="1291"/>
      <c r="AN11" s="1291"/>
      <c r="AO11" s="1291"/>
      <c r="AP11" s="1291"/>
      <c r="AQ11" s="1291"/>
      <c r="AR11" s="1291"/>
      <c r="AS11" s="1291"/>
      <c r="AT11" s="1291"/>
      <c r="AU11" s="1291"/>
      <c r="AV11" s="1291"/>
      <c r="AW11" s="1291"/>
      <c r="AX11" s="1291"/>
      <c r="AY11" s="1291"/>
      <c r="AZ11" s="1291"/>
      <c r="BA11" s="1291"/>
      <c r="BB11" s="1291"/>
      <c r="BC11" s="1291"/>
      <c r="BD11" s="1291"/>
      <c r="BE11" s="1291"/>
      <c r="BF11" s="1291"/>
      <c r="BG11" s="1291"/>
      <c r="BH11" s="1291"/>
      <c r="BI11" s="1291"/>
      <c r="BJ11" s="1291"/>
      <c r="BK11" s="1291"/>
      <c r="BL11" s="1291"/>
      <c r="BM11" s="1291"/>
      <c r="BN11" s="1291"/>
      <c r="BO11" s="1291"/>
      <c r="BP11" s="1291"/>
      <c r="BQ11" s="1291"/>
      <c r="BR11" s="1291"/>
      <c r="BS11" s="1291"/>
      <c r="BT11" s="1291"/>
      <c r="BU11" s="1291"/>
      <c r="BV11" s="1291"/>
      <c r="BW11" s="1291"/>
      <c r="BX11" s="1291"/>
      <c r="BY11" s="1291"/>
      <c r="BZ11" s="1291"/>
      <c r="CA11" s="1291"/>
      <c r="CB11" s="1291"/>
      <c r="CC11" s="1291"/>
      <c r="CD11" s="1291"/>
      <c r="CE11" s="1291"/>
      <c r="CF11" s="1291"/>
      <c r="CG11" s="1291"/>
      <c r="CH11" s="1291"/>
      <c r="CI11" s="1291"/>
      <c r="CJ11" s="1291"/>
      <c r="CK11" s="1291"/>
      <c r="CL11" s="1291"/>
      <c r="CM11" s="1291"/>
      <c r="CN11" s="1291"/>
      <c r="CO11" s="1291"/>
      <c r="CP11" s="1291"/>
      <c r="CQ11" s="1291"/>
      <c r="CR11" s="1291"/>
      <c r="CS11" s="1291"/>
      <c r="CT11" s="1291"/>
      <c r="CU11" s="1291"/>
      <c r="CV11" s="1291"/>
      <c r="CW11" s="1291"/>
      <c r="CX11" s="1291"/>
      <c r="CY11" s="1291"/>
      <c r="CZ11" s="1291"/>
      <c r="DA11" s="1291"/>
      <c r="DB11" s="1291"/>
      <c r="DC11" s="1291"/>
      <c r="DD11" s="1291"/>
      <c r="DE11" s="1291"/>
      <c r="DF11" s="1291"/>
      <c r="DG11" s="1291"/>
      <c r="DH11" s="1291"/>
      <c r="DI11" s="1291"/>
      <c r="DJ11" s="1291"/>
      <c r="DK11" s="1291"/>
      <c r="DL11" s="1291"/>
      <c r="DM11" s="1291"/>
      <c r="DN11" s="1291"/>
      <c r="DO11" s="1291"/>
      <c r="DP11" s="1291"/>
      <c r="DQ11" s="1291"/>
      <c r="DR11" s="1291"/>
      <c r="DS11" s="1291"/>
      <c r="DT11" s="1291"/>
      <c r="DU11" s="1291"/>
      <c r="DV11" s="1291"/>
      <c r="DW11" s="1291"/>
      <c r="DX11" s="1291"/>
      <c r="DY11" s="1291"/>
      <c r="DZ11" s="1291"/>
      <c r="EA11" s="1291"/>
      <c r="EB11" s="1291"/>
      <c r="EC11" s="1291"/>
      <c r="ED11" s="1291"/>
      <c r="EE11" s="1291"/>
      <c r="EF11" s="1291"/>
      <c r="EG11" s="1291"/>
      <c r="EH11" s="1291"/>
      <c r="EI11" s="1291"/>
      <c r="EJ11" s="1291"/>
      <c r="EK11" s="1291"/>
      <c r="EL11" s="1291"/>
      <c r="EM11" s="1291"/>
      <c r="EN11" s="1291"/>
      <c r="EO11" s="1291"/>
      <c r="EP11" s="1291"/>
      <c r="EQ11" s="1291"/>
      <c r="ER11" s="1291"/>
      <c r="ES11" s="1291"/>
      <c r="ET11" s="1291"/>
      <c r="EU11" s="1291"/>
      <c r="EV11" s="1291"/>
      <c r="EW11" s="1291"/>
      <c r="EX11" s="1291"/>
      <c r="EY11" s="1291"/>
      <c r="EZ11" s="1291"/>
      <c r="FA11" s="1291"/>
      <c r="FB11" s="1291"/>
      <c r="FC11" s="1291"/>
      <c r="FD11" s="1291"/>
      <c r="FE11" s="1291"/>
      <c r="FF11" s="1291"/>
      <c r="FG11" s="1291"/>
      <c r="FH11" s="1291"/>
      <c r="FI11" s="1291"/>
      <c r="FJ11" s="1291"/>
      <c r="FK11" s="1291"/>
      <c r="FL11" s="1291"/>
      <c r="FM11" s="1291"/>
      <c r="FN11" s="1291"/>
      <c r="FO11" s="1291"/>
      <c r="FP11" s="1291"/>
      <c r="FQ11" s="1291"/>
      <c r="FR11" s="1291"/>
      <c r="FS11" s="1291"/>
      <c r="FT11" s="1291"/>
      <c r="FU11" s="1291"/>
      <c r="FV11" s="1291"/>
      <c r="FW11" s="1291"/>
      <c r="FX11" s="1291"/>
      <c r="FY11" s="1291"/>
      <c r="FZ11" s="1291"/>
      <c r="GA11" s="1291"/>
      <c r="GB11" s="1291"/>
      <c r="GC11" s="1291"/>
      <c r="GD11" s="1291"/>
      <c r="GE11" s="1291"/>
      <c r="GF11" s="1291"/>
      <c r="GG11" s="1291"/>
      <c r="GH11" s="1291"/>
      <c r="GI11" s="1291"/>
      <c r="GJ11" s="1291"/>
      <c r="GK11" s="1291"/>
      <c r="GL11" s="1291"/>
      <c r="GM11" s="1291"/>
      <c r="GN11" s="1291"/>
      <c r="GO11" s="1291"/>
      <c r="GP11" s="1291"/>
      <c r="GQ11" s="1291"/>
    </row>
    <row r="12" spans="1:199" x14ac:dyDescent="0.3">
      <c r="A12" s="1394" t="s">
        <v>554</v>
      </c>
      <c r="B12" s="1476"/>
      <c r="C12" s="1479"/>
      <c r="D12" s="1479"/>
      <c r="E12" s="1480">
        <v>135360</v>
      </c>
      <c r="F12" s="1337">
        <v>33420</v>
      </c>
      <c r="G12" s="1338">
        <f>SUM(E12:F12)</f>
        <v>168780</v>
      </c>
      <c r="H12" s="1332"/>
      <c r="I12" s="1332"/>
      <c r="J12" s="1342">
        <f>SUM(H12:I12)</f>
        <v>0</v>
      </c>
      <c r="K12" s="1481"/>
      <c r="L12" s="1337"/>
      <c r="M12" s="1338"/>
      <c r="N12" s="1482">
        <f>34880-16320</f>
        <v>18560</v>
      </c>
      <c r="O12" s="1337">
        <v>34160</v>
      </c>
      <c r="P12" s="1338">
        <f>SUM(N12:O12)</f>
        <v>52720</v>
      </c>
      <c r="Q12" s="1554" t="s">
        <v>554</v>
      </c>
      <c r="R12" s="1482"/>
      <c r="S12" s="1337"/>
      <c r="T12" s="1340"/>
      <c r="U12" s="1386" t="s">
        <v>554</v>
      </c>
      <c r="V12" s="1482"/>
      <c r="W12" s="1337"/>
      <c r="X12" s="1340"/>
      <c r="Y12" s="1483">
        <v>144412</v>
      </c>
      <c r="Z12" s="1353">
        <v>156480</v>
      </c>
      <c r="AA12" s="1342">
        <f t="shared" si="0"/>
        <v>300892</v>
      </c>
      <c r="AB12" s="1481"/>
      <c r="AC12" s="1337"/>
      <c r="AD12" s="1340"/>
      <c r="AE12" s="1340">
        <f t="shared" si="1"/>
        <v>522392</v>
      </c>
      <c r="AF12" s="1291"/>
      <c r="AG12" s="1291"/>
      <c r="AH12" s="1291"/>
      <c r="AI12" s="1291"/>
      <c r="AJ12" s="1291"/>
      <c r="AK12" s="1291"/>
      <c r="AL12" s="1291"/>
      <c r="AM12" s="1291"/>
      <c r="AN12" s="1291"/>
      <c r="AO12" s="1291"/>
      <c r="AP12" s="1291"/>
      <c r="AQ12" s="1291"/>
      <c r="AR12" s="1291"/>
      <c r="AS12" s="1291"/>
      <c r="AT12" s="1291"/>
      <c r="AU12" s="1291"/>
      <c r="AV12" s="1291"/>
      <c r="AW12" s="1291"/>
      <c r="AX12" s="1291"/>
      <c r="AY12" s="1291"/>
      <c r="AZ12" s="1291"/>
      <c r="BA12" s="1291"/>
      <c r="BB12" s="1291"/>
      <c r="BC12" s="1291"/>
      <c r="BD12" s="1291"/>
      <c r="BE12" s="1291"/>
      <c r="BF12" s="1291"/>
      <c r="BG12" s="1291"/>
      <c r="BH12" s="1291"/>
      <c r="BI12" s="1291"/>
      <c r="BJ12" s="1291"/>
      <c r="BK12" s="1291"/>
      <c r="BL12" s="1291"/>
      <c r="BM12" s="1291"/>
      <c r="BN12" s="1291"/>
      <c r="BO12" s="1291"/>
      <c r="BP12" s="1291"/>
      <c r="BQ12" s="1291"/>
      <c r="BR12" s="1291"/>
      <c r="BS12" s="1291"/>
      <c r="BT12" s="1291"/>
      <c r="BU12" s="1291"/>
      <c r="BV12" s="1291"/>
      <c r="BW12" s="1291"/>
      <c r="BX12" s="1291"/>
      <c r="BY12" s="1291"/>
      <c r="BZ12" s="1291"/>
      <c r="CA12" s="1291"/>
      <c r="CB12" s="1291"/>
      <c r="CC12" s="1291"/>
      <c r="CD12" s="1291"/>
      <c r="CE12" s="1291"/>
      <c r="CF12" s="1291"/>
      <c r="CG12" s="1291"/>
      <c r="CH12" s="1291"/>
      <c r="CI12" s="1291"/>
      <c r="CJ12" s="1291"/>
      <c r="CK12" s="1291"/>
      <c r="CL12" s="1291"/>
      <c r="CM12" s="1291"/>
      <c r="CN12" s="1291"/>
      <c r="CO12" s="1291"/>
      <c r="CP12" s="1291"/>
      <c r="CQ12" s="1291"/>
      <c r="CR12" s="1291"/>
      <c r="CS12" s="1291"/>
      <c r="CT12" s="1291"/>
      <c r="CU12" s="1291"/>
      <c r="CV12" s="1291"/>
      <c r="CW12" s="1291"/>
      <c r="CX12" s="1291"/>
      <c r="CY12" s="1291"/>
      <c r="CZ12" s="1291"/>
      <c r="DA12" s="1291"/>
      <c r="DB12" s="1291"/>
      <c r="DC12" s="1291"/>
      <c r="DD12" s="1291"/>
      <c r="DE12" s="1291"/>
      <c r="DF12" s="1291"/>
      <c r="DG12" s="1291"/>
      <c r="DH12" s="1291"/>
      <c r="DI12" s="1291"/>
      <c r="DJ12" s="1291"/>
      <c r="DK12" s="1291"/>
      <c r="DL12" s="1291"/>
      <c r="DM12" s="1291"/>
      <c r="DN12" s="1291"/>
      <c r="DO12" s="1291"/>
      <c r="DP12" s="1291"/>
      <c r="DQ12" s="1291"/>
      <c r="DR12" s="1291"/>
      <c r="DS12" s="1291"/>
      <c r="DT12" s="1291"/>
      <c r="DU12" s="1291"/>
      <c r="DV12" s="1291"/>
      <c r="DW12" s="1291"/>
      <c r="DX12" s="1291"/>
      <c r="DY12" s="1291"/>
      <c r="DZ12" s="1291"/>
      <c r="EA12" s="1291"/>
      <c r="EB12" s="1291"/>
      <c r="EC12" s="1291"/>
      <c r="ED12" s="1291"/>
      <c r="EE12" s="1291"/>
      <c r="EF12" s="1291"/>
      <c r="EG12" s="1291"/>
      <c r="EH12" s="1291"/>
      <c r="EI12" s="1291"/>
      <c r="EJ12" s="1291"/>
      <c r="EK12" s="1291"/>
      <c r="EL12" s="1291"/>
      <c r="EM12" s="1291"/>
      <c r="EN12" s="1291"/>
      <c r="EO12" s="1291"/>
      <c r="EP12" s="1291"/>
      <c r="EQ12" s="1291"/>
      <c r="ER12" s="1291"/>
      <c r="ES12" s="1291"/>
      <c r="ET12" s="1291"/>
      <c r="EU12" s="1291"/>
      <c r="EV12" s="1291"/>
      <c r="EW12" s="1291"/>
      <c r="EX12" s="1291"/>
      <c r="EY12" s="1291"/>
      <c r="EZ12" s="1291"/>
      <c r="FA12" s="1291"/>
      <c r="FB12" s="1291"/>
      <c r="FC12" s="1291"/>
      <c r="FD12" s="1291"/>
      <c r="FE12" s="1291"/>
      <c r="FF12" s="1291"/>
      <c r="FG12" s="1291"/>
      <c r="FH12" s="1291"/>
      <c r="FI12" s="1291"/>
      <c r="FJ12" s="1291"/>
      <c r="FK12" s="1291"/>
      <c r="FL12" s="1291"/>
      <c r="FM12" s="1291"/>
      <c r="FN12" s="1291"/>
      <c r="FO12" s="1291"/>
      <c r="FP12" s="1291"/>
      <c r="FQ12" s="1291"/>
      <c r="FR12" s="1291"/>
      <c r="FS12" s="1291"/>
      <c r="FT12" s="1291"/>
      <c r="FU12" s="1291"/>
      <c r="FV12" s="1291"/>
      <c r="FW12" s="1291"/>
      <c r="FX12" s="1291"/>
      <c r="FY12" s="1291"/>
      <c r="FZ12" s="1291"/>
      <c r="GA12" s="1291"/>
      <c r="GB12" s="1291"/>
      <c r="GC12" s="1291"/>
      <c r="GD12" s="1291"/>
      <c r="GE12" s="1291"/>
      <c r="GF12" s="1291"/>
      <c r="GG12" s="1291"/>
      <c r="GH12" s="1291"/>
      <c r="GI12" s="1291"/>
      <c r="GJ12" s="1291"/>
      <c r="GK12" s="1291"/>
      <c r="GL12" s="1291"/>
      <c r="GM12" s="1291"/>
      <c r="GN12" s="1291"/>
      <c r="GO12" s="1291"/>
      <c r="GP12" s="1291"/>
      <c r="GQ12" s="1291"/>
    </row>
    <row r="13" spans="1:199" x14ac:dyDescent="0.3">
      <c r="A13" s="1394" t="s">
        <v>555</v>
      </c>
      <c r="B13" s="1476"/>
      <c r="C13" s="1477">
        <v>91600</v>
      </c>
      <c r="D13" s="1477"/>
      <c r="E13" s="1341"/>
      <c r="F13" s="1337"/>
      <c r="G13" s="1338"/>
      <c r="H13" s="1337"/>
      <c r="I13" s="1337"/>
      <c r="J13" s="1342"/>
      <c r="K13" s="1339"/>
      <c r="L13" s="1337"/>
      <c r="M13" s="1338"/>
      <c r="N13" s="1337"/>
      <c r="O13" s="1337"/>
      <c r="P13" s="1338"/>
      <c r="Q13" s="1554" t="s">
        <v>555</v>
      </c>
      <c r="R13" s="1337"/>
      <c r="S13" s="1337"/>
      <c r="T13" s="1340"/>
      <c r="U13" s="1386" t="s">
        <v>555</v>
      </c>
      <c r="V13" s="1337"/>
      <c r="W13" s="1337"/>
      <c r="X13" s="1340"/>
      <c r="Y13" s="1337"/>
      <c r="Z13" s="1337"/>
      <c r="AA13" s="1342"/>
      <c r="AB13" s="1339"/>
      <c r="AC13" s="1337"/>
      <c r="AD13" s="1340"/>
      <c r="AE13" s="1340">
        <f t="shared" si="1"/>
        <v>91600</v>
      </c>
      <c r="AF13" s="1291"/>
      <c r="AG13" s="1291"/>
      <c r="AH13" s="1291"/>
      <c r="AI13" s="1291"/>
      <c r="AJ13" s="1291"/>
      <c r="AK13" s="1291"/>
      <c r="AL13" s="1291"/>
      <c r="AM13" s="1291"/>
      <c r="AN13" s="1291"/>
      <c r="AO13" s="1291"/>
      <c r="AP13" s="1291"/>
      <c r="AQ13" s="1291"/>
      <c r="AR13" s="1291"/>
      <c r="AS13" s="1291"/>
      <c r="AT13" s="1291"/>
      <c r="AU13" s="1291"/>
      <c r="AV13" s="1291"/>
      <c r="AW13" s="1291"/>
      <c r="AX13" s="1291"/>
      <c r="AY13" s="1291"/>
      <c r="AZ13" s="1291"/>
      <c r="BA13" s="1291"/>
      <c r="BB13" s="1291"/>
      <c r="BC13" s="1291"/>
      <c r="BD13" s="1291"/>
      <c r="BE13" s="1291"/>
      <c r="BF13" s="1291"/>
      <c r="BG13" s="1291"/>
      <c r="BH13" s="1291"/>
      <c r="BI13" s="1291"/>
      <c r="BJ13" s="1291"/>
      <c r="BK13" s="1291"/>
      <c r="BL13" s="1291"/>
      <c r="BM13" s="1291"/>
      <c r="BN13" s="1291"/>
      <c r="BO13" s="1291"/>
      <c r="BP13" s="1291"/>
      <c r="BQ13" s="1291"/>
      <c r="BR13" s="1291"/>
      <c r="BS13" s="1291"/>
      <c r="BT13" s="1291"/>
      <c r="BU13" s="1291"/>
      <c r="BV13" s="1291"/>
      <c r="BW13" s="1291"/>
      <c r="BX13" s="1291"/>
      <c r="BY13" s="1291"/>
      <c r="BZ13" s="1291"/>
      <c r="CA13" s="1291"/>
      <c r="CB13" s="1291"/>
      <c r="CC13" s="1291"/>
      <c r="CD13" s="1291"/>
      <c r="CE13" s="1291"/>
      <c r="CF13" s="1291"/>
      <c r="CG13" s="1291"/>
      <c r="CH13" s="1291"/>
      <c r="CI13" s="1291"/>
      <c r="CJ13" s="1291"/>
      <c r="CK13" s="1291"/>
      <c r="CL13" s="1291"/>
      <c r="CM13" s="1291"/>
      <c r="CN13" s="1291"/>
      <c r="CO13" s="1291"/>
      <c r="CP13" s="1291"/>
      <c r="CQ13" s="1291"/>
      <c r="CR13" s="1291"/>
      <c r="CS13" s="1291"/>
      <c r="CT13" s="1291"/>
      <c r="CU13" s="1291"/>
      <c r="CV13" s="1291"/>
      <c r="CW13" s="1291"/>
      <c r="CX13" s="1291"/>
      <c r="CY13" s="1291"/>
      <c r="CZ13" s="1291"/>
      <c r="DA13" s="1291"/>
      <c r="DB13" s="1291"/>
      <c r="DC13" s="1291"/>
      <c r="DD13" s="1291"/>
      <c r="DE13" s="1291"/>
      <c r="DF13" s="1291"/>
      <c r="DG13" s="1291"/>
      <c r="DH13" s="1291"/>
      <c r="DI13" s="1291"/>
      <c r="DJ13" s="1291"/>
      <c r="DK13" s="1291"/>
      <c r="DL13" s="1291"/>
      <c r="DM13" s="1291"/>
      <c r="DN13" s="1291"/>
      <c r="DO13" s="1291"/>
      <c r="DP13" s="1291"/>
      <c r="DQ13" s="1291"/>
      <c r="DR13" s="1291"/>
      <c r="DS13" s="1291"/>
      <c r="DT13" s="1291"/>
      <c r="DU13" s="1291"/>
      <c r="DV13" s="1291"/>
      <c r="DW13" s="1291"/>
      <c r="DX13" s="1291"/>
      <c r="DY13" s="1291"/>
      <c r="DZ13" s="1291"/>
      <c r="EA13" s="1291"/>
      <c r="EB13" s="1291"/>
      <c r="EC13" s="1291"/>
      <c r="ED13" s="1291"/>
      <c r="EE13" s="1291"/>
      <c r="EF13" s="1291"/>
      <c r="EG13" s="1291"/>
      <c r="EH13" s="1291"/>
      <c r="EI13" s="1291"/>
      <c r="EJ13" s="1291"/>
      <c r="EK13" s="1291"/>
      <c r="EL13" s="1291"/>
      <c r="EM13" s="1291"/>
      <c r="EN13" s="1291"/>
      <c r="EO13" s="1291"/>
      <c r="EP13" s="1291"/>
      <c r="EQ13" s="1291"/>
      <c r="ER13" s="1291"/>
      <c r="ES13" s="1291"/>
      <c r="ET13" s="1291"/>
      <c r="EU13" s="1291"/>
      <c r="EV13" s="1291"/>
      <c r="EW13" s="1291"/>
      <c r="EX13" s="1291"/>
      <c r="EY13" s="1291"/>
      <c r="EZ13" s="1291"/>
      <c r="FA13" s="1291"/>
      <c r="FB13" s="1291"/>
      <c r="FC13" s="1291"/>
      <c r="FD13" s="1291"/>
      <c r="FE13" s="1291"/>
      <c r="FF13" s="1291"/>
      <c r="FG13" s="1291"/>
      <c r="FH13" s="1291"/>
      <c r="FI13" s="1291"/>
      <c r="FJ13" s="1291"/>
      <c r="FK13" s="1291"/>
      <c r="FL13" s="1291"/>
      <c r="FM13" s="1291"/>
      <c r="FN13" s="1291"/>
      <c r="FO13" s="1291"/>
      <c r="FP13" s="1291"/>
      <c r="FQ13" s="1291"/>
      <c r="FR13" s="1291"/>
      <c r="FS13" s="1291"/>
      <c r="FT13" s="1291"/>
      <c r="FU13" s="1291"/>
      <c r="FV13" s="1291"/>
      <c r="FW13" s="1291"/>
      <c r="FX13" s="1291"/>
      <c r="FY13" s="1291"/>
      <c r="FZ13" s="1291"/>
      <c r="GA13" s="1291"/>
      <c r="GB13" s="1291"/>
      <c r="GC13" s="1291"/>
      <c r="GD13" s="1291"/>
      <c r="GE13" s="1291"/>
      <c r="GF13" s="1291"/>
      <c r="GG13" s="1291"/>
      <c r="GH13" s="1291"/>
      <c r="GI13" s="1291"/>
      <c r="GJ13" s="1291"/>
      <c r="GK13" s="1291"/>
      <c r="GL13" s="1291"/>
      <c r="GM13" s="1291"/>
      <c r="GN13" s="1291"/>
      <c r="GO13" s="1291"/>
      <c r="GP13" s="1291"/>
      <c r="GQ13" s="1291"/>
    </row>
    <row r="14" spans="1:199" x14ac:dyDescent="0.3">
      <c r="A14" s="1394" t="s">
        <v>556</v>
      </c>
      <c r="B14" s="1476"/>
      <c r="C14" s="1477"/>
      <c r="D14" s="1477"/>
      <c r="E14" s="1341"/>
      <c r="F14" s="1337"/>
      <c r="G14" s="1338"/>
      <c r="H14" s="1337"/>
      <c r="I14" s="1337"/>
      <c r="J14" s="1342"/>
      <c r="K14" s="1339"/>
      <c r="L14" s="1337"/>
      <c r="M14" s="1338"/>
      <c r="N14" s="1337"/>
      <c r="O14" s="1337"/>
      <c r="P14" s="1338"/>
      <c r="Q14" s="1554" t="s">
        <v>556</v>
      </c>
      <c r="R14" s="1337"/>
      <c r="S14" s="1337"/>
      <c r="T14" s="1340"/>
      <c r="U14" s="1386" t="s">
        <v>556</v>
      </c>
      <c r="V14" s="1337"/>
      <c r="W14" s="1337"/>
      <c r="X14" s="1340"/>
      <c r="Y14" s="1337"/>
      <c r="Z14" s="1337"/>
      <c r="AA14" s="1342"/>
      <c r="AB14" s="1339"/>
      <c r="AC14" s="1337"/>
      <c r="AD14" s="1340"/>
      <c r="AE14" s="1340">
        <f t="shared" si="1"/>
        <v>0</v>
      </c>
      <c r="AF14" s="1291"/>
      <c r="AG14" s="1291"/>
      <c r="AH14" s="1291"/>
      <c r="AI14" s="1291"/>
      <c r="AJ14" s="1291"/>
      <c r="AK14" s="1291"/>
      <c r="AL14" s="1291"/>
      <c r="AM14" s="1291"/>
      <c r="AN14" s="1291"/>
      <c r="AO14" s="1291"/>
      <c r="AP14" s="1291"/>
      <c r="AQ14" s="1291"/>
      <c r="AR14" s="1291"/>
      <c r="AS14" s="1291"/>
      <c r="AT14" s="1291"/>
      <c r="AU14" s="1291"/>
      <c r="AV14" s="1291"/>
      <c r="AW14" s="1291"/>
      <c r="AX14" s="1291"/>
      <c r="AY14" s="1291"/>
      <c r="AZ14" s="1291"/>
      <c r="BA14" s="1291"/>
      <c r="BB14" s="1291"/>
      <c r="BC14" s="1291"/>
      <c r="BD14" s="1291"/>
      <c r="BE14" s="1291"/>
      <c r="BF14" s="1291"/>
      <c r="BG14" s="1291"/>
      <c r="BH14" s="1291"/>
      <c r="BI14" s="1291"/>
      <c r="BJ14" s="1291"/>
      <c r="BK14" s="1291"/>
      <c r="BL14" s="1291"/>
      <c r="BM14" s="1291"/>
      <c r="BN14" s="1291"/>
      <c r="BO14" s="1291"/>
      <c r="BP14" s="1291"/>
      <c r="BQ14" s="1291"/>
      <c r="BR14" s="1291"/>
      <c r="BS14" s="1291"/>
      <c r="BT14" s="1291"/>
      <c r="BU14" s="1291"/>
      <c r="BV14" s="1291"/>
      <c r="BW14" s="1291"/>
      <c r="BX14" s="1291"/>
      <c r="BY14" s="1291"/>
      <c r="BZ14" s="1291"/>
      <c r="CA14" s="1291"/>
      <c r="CB14" s="1291"/>
      <c r="CC14" s="1291"/>
      <c r="CD14" s="1291"/>
      <c r="CE14" s="1291"/>
      <c r="CF14" s="1291"/>
      <c r="CG14" s="1291"/>
      <c r="CH14" s="1291"/>
      <c r="CI14" s="1291"/>
      <c r="CJ14" s="1291"/>
      <c r="CK14" s="1291"/>
      <c r="CL14" s="1291"/>
      <c r="CM14" s="1291"/>
      <c r="CN14" s="1291"/>
      <c r="CO14" s="1291"/>
      <c r="CP14" s="1291"/>
      <c r="CQ14" s="1291"/>
      <c r="CR14" s="1291"/>
      <c r="CS14" s="1291"/>
      <c r="CT14" s="1291"/>
      <c r="CU14" s="1291"/>
      <c r="CV14" s="1291"/>
      <c r="CW14" s="1291"/>
      <c r="CX14" s="1291"/>
      <c r="CY14" s="1291"/>
      <c r="CZ14" s="1291"/>
      <c r="DA14" s="1291"/>
      <c r="DB14" s="1291"/>
      <c r="DC14" s="1291"/>
      <c r="DD14" s="1291"/>
      <c r="DE14" s="1291"/>
      <c r="DF14" s="1291"/>
      <c r="DG14" s="1291"/>
      <c r="DH14" s="1291"/>
      <c r="DI14" s="1291"/>
      <c r="DJ14" s="1291"/>
      <c r="DK14" s="1291"/>
      <c r="DL14" s="1291"/>
      <c r="DM14" s="1291"/>
      <c r="DN14" s="1291"/>
      <c r="DO14" s="1291"/>
      <c r="DP14" s="1291"/>
      <c r="DQ14" s="1291"/>
      <c r="DR14" s="1291"/>
      <c r="DS14" s="1291"/>
      <c r="DT14" s="1291"/>
      <c r="DU14" s="1291"/>
      <c r="DV14" s="1291"/>
      <c r="DW14" s="1291"/>
      <c r="DX14" s="1291"/>
      <c r="DY14" s="1291"/>
      <c r="DZ14" s="1291"/>
      <c r="EA14" s="1291"/>
      <c r="EB14" s="1291"/>
      <c r="EC14" s="1291"/>
      <c r="ED14" s="1291"/>
      <c r="EE14" s="1291"/>
      <c r="EF14" s="1291"/>
      <c r="EG14" s="1291"/>
      <c r="EH14" s="1291"/>
      <c r="EI14" s="1291"/>
      <c r="EJ14" s="1291"/>
      <c r="EK14" s="1291"/>
      <c r="EL14" s="1291"/>
      <c r="EM14" s="1291"/>
      <c r="EN14" s="1291"/>
      <c r="EO14" s="1291"/>
      <c r="EP14" s="1291"/>
      <c r="EQ14" s="1291"/>
      <c r="ER14" s="1291"/>
      <c r="ES14" s="1291"/>
      <c r="ET14" s="1291"/>
      <c r="EU14" s="1291"/>
      <c r="EV14" s="1291"/>
      <c r="EW14" s="1291"/>
      <c r="EX14" s="1291"/>
      <c r="EY14" s="1291"/>
      <c r="EZ14" s="1291"/>
      <c r="FA14" s="1291"/>
      <c r="FB14" s="1291"/>
      <c r="FC14" s="1291"/>
      <c r="FD14" s="1291"/>
      <c r="FE14" s="1291"/>
      <c r="FF14" s="1291"/>
      <c r="FG14" s="1291"/>
      <c r="FH14" s="1291"/>
      <c r="FI14" s="1291"/>
      <c r="FJ14" s="1291"/>
      <c r="FK14" s="1291"/>
      <c r="FL14" s="1291"/>
      <c r="FM14" s="1291"/>
      <c r="FN14" s="1291"/>
      <c r="FO14" s="1291"/>
      <c r="FP14" s="1291"/>
      <c r="FQ14" s="1291"/>
      <c r="FR14" s="1291"/>
      <c r="FS14" s="1291"/>
      <c r="FT14" s="1291"/>
      <c r="FU14" s="1291"/>
      <c r="FV14" s="1291"/>
      <c r="FW14" s="1291"/>
      <c r="FX14" s="1291"/>
      <c r="FY14" s="1291"/>
      <c r="FZ14" s="1291"/>
      <c r="GA14" s="1291"/>
      <c r="GB14" s="1291"/>
      <c r="GC14" s="1291"/>
      <c r="GD14" s="1291"/>
      <c r="GE14" s="1291"/>
      <c r="GF14" s="1291"/>
      <c r="GG14" s="1291"/>
      <c r="GH14" s="1291"/>
      <c r="GI14" s="1291"/>
      <c r="GJ14" s="1291"/>
      <c r="GK14" s="1291"/>
      <c r="GL14" s="1291"/>
      <c r="GM14" s="1291"/>
      <c r="GN14" s="1291"/>
      <c r="GO14" s="1291"/>
      <c r="GP14" s="1291"/>
      <c r="GQ14" s="1291"/>
    </row>
    <row r="15" spans="1:199" x14ac:dyDescent="0.3">
      <c r="A15" s="1394" t="s">
        <v>557</v>
      </c>
      <c r="B15" s="1476"/>
      <c r="C15" s="1477"/>
      <c r="D15" s="1477"/>
      <c r="E15" s="1341"/>
      <c r="F15" s="1337"/>
      <c r="G15" s="1338"/>
      <c r="H15" s="1337"/>
      <c r="I15" s="1337"/>
      <c r="J15" s="1342"/>
      <c r="K15" s="1339"/>
      <c r="L15" s="1337"/>
      <c r="M15" s="1338"/>
      <c r="N15" s="1337"/>
      <c r="O15" s="1337"/>
      <c r="P15" s="1338"/>
      <c r="Q15" s="1554" t="s">
        <v>557</v>
      </c>
      <c r="R15" s="1337"/>
      <c r="S15" s="1337"/>
      <c r="T15" s="1340"/>
      <c r="U15" s="1386" t="s">
        <v>557</v>
      </c>
      <c r="V15" s="1337"/>
      <c r="W15" s="1337"/>
      <c r="X15" s="1340"/>
      <c r="Y15" s="1337"/>
      <c r="Z15" s="1337"/>
      <c r="AA15" s="1342">
        <f t="shared" ref="AA15:AA21" si="2">SUM(Y15:Z15)</f>
        <v>0</v>
      </c>
      <c r="AB15" s="1339"/>
      <c r="AC15" s="1337"/>
      <c r="AD15" s="1340"/>
      <c r="AE15" s="1340">
        <f t="shared" si="1"/>
        <v>0</v>
      </c>
      <c r="AF15" s="1291"/>
      <c r="AG15" s="1291"/>
      <c r="AH15" s="1291"/>
      <c r="AI15" s="1291"/>
      <c r="AJ15" s="1291"/>
      <c r="AK15" s="1291"/>
      <c r="AL15" s="1291"/>
      <c r="AM15" s="1291"/>
      <c r="AN15" s="1291"/>
      <c r="AO15" s="1291"/>
      <c r="AP15" s="1291"/>
      <c r="AQ15" s="1291"/>
      <c r="AR15" s="1291"/>
      <c r="AS15" s="1291"/>
      <c r="AT15" s="1291"/>
      <c r="AU15" s="1291"/>
      <c r="AV15" s="1291"/>
      <c r="AW15" s="1291"/>
      <c r="AX15" s="1291"/>
      <c r="AY15" s="1291"/>
      <c r="AZ15" s="1291"/>
      <c r="BA15" s="1291"/>
      <c r="BB15" s="1291"/>
      <c r="BC15" s="1291"/>
      <c r="BD15" s="1291"/>
      <c r="BE15" s="1291"/>
      <c r="BF15" s="1291"/>
      <c r="BG15" s="1291"/>
      <c r="BH15" s="1291"/>
      <c r="BI15" s="1291"/>
      <c r="BJ15" s="1291"/>
      <c r="BK15" s="1291"/>
      <c r="BL15" s="1291"/>
      <c r="BM15" s="1291"/>
      <c r="BN15" s="1291"/>
      <c r="BO15" s="1291"/>
      <c r="BP15" s="1291"/>
      <c r="BQ15" s="1291"/>
      <c r="BR15" s="1291"/>
      <c r="BS15" s="1291"/>
      <c r="BT15" s="1291"/>
      <c r="BU15" s="1291"/>
      <c r="BV15" s="1291"/>
      <c r="BW15" s="1291"/>
      <c r="BX15" s="1291"/>
      <c r="BY15" s="1291"/>
      <c r="BZ15" s="1291"/>
      <c r="CA15" s="1291"/>
      <c r="CB15" s="1291"/>
      <c r="CC15" s="1291"/>
      <c r="CD15" s="1291"/>
      <c r="CE15" s="1291"/>
      <c r="CF15" s="1291"/>
      <c r="CG15" s="1291"/>
      <c r="CH15" s="1291"/>
      <c r="CI15" s="1291"/>
      <c r="CJ15" s="1291"/>
      <c r="CK15" s="1291"/>
      <c r="CL15" s="1291"/>
      <c r="CM15" s="1291"/>
      <c r="CN15" s="1291"/>
      <c r="CO15" s="1291"/>
      <c r="CP15" s="1291"/>
      <c r="CQ15" s="1291"/>
      <c r="CR15" s="1291"/>
      <c r="CS15" s="1291"/>
      <c r="CT15" s="1291"/>
      <c r="CU15" s="1291"/>
      <c r="CV15" s="1291"/>
      <c r="CW15" s="1291"/>
      <c r="CX15" s="1291"/>
      <c r="CY15" s="1291"/>
      <c r="CZ15" s="1291"/>
      <c r="DA15" s="1291"/>
      <c r="DB15" s="1291"/>
      <c r="DC15" s="1291"/>
      <c r="DD15" s="1291"/>
      <c r="DE15" s="1291"/>
      <c r="DF15" s="1291"/>
      <c r="DG15" s="1291"/>
      <c r="DH15" s="1291"/>
      <c r="DI15" s="1291"/>
      <c r="DJ15" s="1291"/>
      <c r="DK15" s="1291"/>
      <c r="DL15" s="1291"/>
      <c r="DM15" s="1291"/>
      <c r="DN15" s="1291"/>
      <c r="DO15" s="1291"/>
      <c r="DP15" s="1291"/>
      <c r="DQ15" s="1291"/>
      <c r="DR15" s="1291"/>
      <c r="DS15" s="1291"/>
      <c r="DT15" s="1291"/>
      <c r="DU15" s="1291"/>
      <c r="DV15" s="1291"/>
      <c r="DW15" s="1291"/>
      <c r="DX15" s="1291"/>
      <c r="DY15" s="1291"/>
      <c r="DZ15" s="1291"/>
      <c r="EA15" s="1291"/>
      <c r="EB15" s="1291"/>
      <c r="EC15" s="1291"/>
      <c r="ED15" s="1291"/>
      <c r="EE15" s="1291"/>
      <c r="EF15" s="1291"/>
      <c r="EG15" s="1291"/>
      <c r="EH15" s="1291"/>
      <c r="EI15" s="1291"/>
      <c r="EJ15" s="1291"/>
      <c r="EK15" s="1291"/>
      <c r="EL15" s="1291"/>
      <c r="EM15" s="1291"/>
      <c r="EN15" s="1291"/>
      <c r="EO15" s="1291"/>
      <c r="EP15" s="1291"/>
      <c r="EQ15" s="1291"/>
      <c r="ER15" s="1291"/>
      <c r="ES15" s="1291"/>
      <c r="ET15" s="1291"/>
      <c r="EU15" s="1291"/>
      <c r="EV15" s="1291"/>
      <c r="EW15" s="1291"/>
      <c r="EX15" s="1291"/>
      <c r="EY15" s="1291"/>
      <c r="EZ15" s="1291"/>
      <c r="FA15" s="1291"/>
      <c r="FB15" s="1291"/>
      <c r="FC15" s="1291"/>
      <c r="FD15" s="1291"/>
      <c r="FE15" s="1291"/>
      <c r="FF15" s="1291"/>
      <c r="FG15" s="1291"/>
      <c r="FH15" s="1291"/>
      <c r="FI15" s="1291"/>
      <c r="FJ15" s="1291"/>
      <c r="FK15" s="1291"/>
      <c r="FL15" s="1291"/>
      <c r="FM15" s="1291"/>
      <c r="FN15" s="1291"/>
      <c r="FO15" s="1291"/>
      <c r="FP15" s="1291"/>
      <c r="FQ15" s="1291"/>
      <c r="FR15" s="1291"/>
      <c r="FS15" s="1291"/>
      <c r="FT15" s="1291"/>
      <c r="FU15" s="1291"/>
      <c r="FV15" s="1291"/>
      <c r="FW15" s="1291"/>
      <c r="FX15" s="1291"/>
      <c r="FY15" s="1291"/>
      <c r="FZ15" s="1291"/>
      <c r="GA15" s="1291"/>
      <c r="GB15" s="1291"/>
      <c r="GC15" s="1291"/>
      <c r="GD15" s="1291"/>
      <c r="GE15" s="1291"/>
      <c r="GF15" s="1291"/>
      <c r="GG15" s="1291"/>
      <c r="GH15" s="1291"/>
      <c r="GI15" s="1291"/>
      <c r="GJ15" s="1291"/>
      <c r="GK15" s="1291"/>
      <c r="GL15" s="1291"/>
      <c r="GM15" s="1291"/>
      <c r="GN15" s="1291"/>
      <c r="GO15" s="1291"/>
      <c r="GP15" s="1291"/>
      <c r="GQ15" s="1291"/>
    </row>
    <row r="16" spans="1:199" x14ac:dyDescent="0.3">
      <c r="A16" s="1394" t="s">
        <v>558</v>
      </c>
      <c r="B16" s="1476"/>
      <c r="C16" s="1477">
        <v>35000</v>
      </c>
      <c r="D16" s="1477">
        <v>95000</v>
      </c>
      <c r="E16" s="1341"/>
      <c r="F16" s="1337"/>
      <c r="G16" s="1338"/>
      <c r="H16" s="1337"/>
      <c r="I16" s="1337"/>
      <c r="J16" s="1342"/>
      <c r="K16" s="1339"/>
      <c r="L16" s="1337"/>
      <c r="M16" s="1338"/>
      <c r="N16" s="1337"/>
      <c r="O16" s="1337"/>
      <c r="P16" s="1338"/>
      <c r="Q16" s="1554" t="s">
        <v>558</v>
      </c>
      <c r="R16" s="1337"/>
      <c r="S16" s="1337"/>
      <c r="T16" s="1340"/>
      <c r="U16" s="1386" t="s">
        <v>558</v>
      </c>
      <c r="V16" s="1337"/>
      <c r="W16" s="1337"/>
      <c r="X16" s="1340"/>
      <c r="Y16" s="1337"/>
      <c r="Z16" s="1337"/>
      <c r="AA16" s="1342">
        <f t="shared" si="2"/>
        <v>0</v>
      </c>
      <c r="AB16" s="1339"/>
      <c r="AC16" s="1337"/>
      <c r="AD16" s="1340"/>
      <c r="AE16" s="1340">
        <f t="shared" si="1"/>
        <v>130000</v>
      </c>
      <c r="AF16" s="1291"/>
      <c r="AG16" s="1291"/>
      <c r="AH16" s="1291"/>
      <c r="AI16" s="1291"/>
      <c r="AJ16" s="1291"/>
      <c r="AK16" s="1291"/>
      <c r="AL16" s="1291"/>
      <c r="AM16" s="1291"/>
      <c r="AN16" s="1291"/>
      <c r="AO16" s="1291"/>
      <c r="AP16" s="1291"/>
      <c r="AQ16" s="1291"/>
      <c r="AR16" s="1291"/>
      <c r="AS16" s="1291"/>
      <c r="AT16" s="1291"/>
      <c r="AU16" s="1291"/>
      <c r="AV16" s="1291"/>
      <c r="AW16" s="1291"/>
      <c r="AX16" s="1291"/>
      <c r="AY16" s="1291"/>
      <c r="AZ16" s="1291"/>
      <c r="BA16" s="1291"/>
      <c r="BB16" s="1291"/>
      <c r="BC16" s="1291"/>
      <c r="BD16" s="1291"/>
      <c r="BE16" s="1291"/>
      <c r="BF16" s="1291"/>
      <c r="BG16" s="1291"/>
      <c r="BH16" s="1291"/>
      <c r="BI16" s="1291"/>
      <c r="BJ16" s="1291"/>
      <c r="BK16" s="1291"/>
      <c r="BL16" s="1291"/>
      <c r="BM16" s="1291"/>
      <c r="BN16" s="1291"/>
      <c r="BO16" s="1291"/>
      <c r="BP16" s="1291"/>
      <c r="BQ16" s="1291"/>
      <c r="BR16" s="1291"/>
      <c r="BS16" s="1291"/>
      <c r="BT16" s="1291"/>
      <c r="BU16" s="1291"/>
      <c r="BV16" s="1291"/>
      <c r="BW16" s="1291"/>
      <c r="BX16" s="1291"/>
      <c r="BY16" s="1291"/>
      <c r="BZ16" s="1291"/>
      <c r="CA16" s="1291"/>
      <c r="CB16" s="1291"/>
      <c r="CC16" s="1291"/>
      <c r="CD16" s="1291"/>
      <c r="CE16" s="1291"/>
      <c r="CF16" s="1291"/>
      <c r="CG16" s="1291"/>
      <c r="CH16" s="1291"/>
      <c r="CI16" s="1291"/>
      <c r="CJ16" s="1291"/>
      <c r="CK16" s="1291"/>
      <c r="CL16" s="1291"/>
      <c r="CM16" s="1291"/>
      <c r="CN16" s="1291"/>
      <c r="CO16" s="1291"/>
      <c r="CP16" s="1291"/>
      <c r="CQ16" s="1291"/>
      <c r="CR16" s="1291"/>
      <c r="CS16" s="1291"/>
      <c r="CT16" s="1291"/>
      <c r="CU16" s="1291"/>
      <c r="CV16" s="1291"/>
      <c r="CW16" s="1291"/>
      <c r="CX16" s="1291"/>
      <c r="CY16" s="1291"/>
      <c r="CZ16" s="1291"/>
      <c r="DA16" s="1291"/>
      <c r="DB16" s="1291"/>
      <c r="DC16" s="1291"/>
      <c r="DD16" s="1291"/>
      <c r="DE16" s="1291"/>
      <c r="DF16" s="1291"/>
      <c r="DG16" s="1291"/>
      <c r="DH16" s="1291"/>
      <c r="DI16" s="1291"/>
      <c r="DJ16" s="1291"/>
      <c r="DK16" s="1291"/>
      <c r="DL16" s="1291"/>
      <c r="DM16" s="1291"/>
      <c r="DN16" s="1291"/>
      <c r="DO16" s="1291"/>
      <c r="DP16" s="1291"/>
      <c r="DQ16" s="1291"/>
      <c r="DR16" s="1291"/>
      <c r="DS16" s="1291"/>
      <c r="DT16" s="1291"/>
      <c r="DU16" s="1291"/>
      <c r="DV16" s="1291"/>
      <c r="DW16" s="1291"/>
      <c r="DX16" s="1291"/>
      <c r="DY16" s="1291"/>
      <c r="DZ16" s="1291"/>
      <c r="EA16" s="1291"/>
      <c r="EB16" s="1291"/>
      <c r="EC16" s="1291"/>
      <c r="ED16" s="1291"/>
      <c r="EE16" s="1291"/>
      <c r="EF16" s="1291"/>
      <c r="EG16" s="1291"/>
      <c r="EH16" s="1291"/>
      <c r="EI16" s="1291"/>
      <c r="EJ16" s="1291"/>
      <c r="EK16" s="1291"/>
      <c r="EL16" s="1291"/>
      <c r="EM16" s="1291"/>
      <c r="EN16" s="1291"/>
      <c r="EO16" s="1291"/>
      <c r="EP16" s="1291"/>
      <c r="EQ16" s="1291"/>
      <c r="ER16" s="1291"/>
      <c r="ES16" s="1291"/>
      <c r="ET16" s="1291"/>
      <c r="EU16" s="1291"/>
      <c r="EV16" s="1291"/>
      <c r="EW16" s="1291"/>
      <c r="EX16" s="1291"/>
      <c r="EY16" s="1291"/>
      <c r="EZ16" s="1291"/>
      <c r="FA16" s="1291"/>
      <c r="FB16" s="1291"/>
      <c r="FC16" s="1291"/>
      <c r="FD16" s="1291"/>
      <c r="FE16" s="1291"/>
      <c r="FF16" s="1291"/>
      <c r="FG16" s="1291"/>
      <c r="FH16" s="1291"/>
      <c r="FI16" s="1291"/>
      <c r="FJ16" s="1291"/>
      <c r="FK16" s="1291"/>
      <c r="FL16" s="1291"/>
      <c r="FM16" s="1291"/>
      <c r="FN16" s="1291"/>
      <c r="FO16" s="1291"/>
      <c r="FP16" s="1291"/>
      <c r="FQ16" s="1291"/>
      <c r="FR16" s="1291"/>
      <c r="FS16" s="1291"/>
      <c r="FT16" s="1291"/>
      <c r="FU16" s="1291"/>
      <c r="FV16" s="1291"/>
      <c r="FW16" s="1291"/>
      <c r="FX16" s="1291"/>
      <c r="FY16" s="1291"/>
      <c r="FZ16" s="1291"/>
      <c r="GA16" s="1291"/>
      <c r="GB16" s="1291"/>
      <c r="GC16" s="1291"/>
      <c r="GD16" s="1291"/>
      <c r="GE16" s="1291"/>
      <c r="GF16" s="1291"/>
      <c r="GG16" s="1291"/>
      <c r="GH16" s="1291"/>
      <c r="GI16" s="1291"/>
      <c r="GJ16" s="1291"/>
      <c r="GK16" s="1291"/>
      <c r="GL16" s="1291"/>
      <c r="GM16" s="1291"/>
      <c r="GN16" s="1291"/>
      <c r="GO16" s="1291"/>
      <c r="GP16" s="1291"/>
      <c r="GQ16" s="1291"/>
    </row>
    <row r="17" spans="1:199" hidden="1" x14ac:dyDescent="0.3">
      <c r="A17" s="1394" t="s">
        <v>559</v>
      </c>
      <c r="B17" s="1476"/>
      <c r="C17" s="1477"/>
      <c r="D17" s="1477"/>
      <c r="E17" s="1341"/>
      <c r="F17" s="1337"/>
      <c r="G17" s="1338"/>
      <c r="H17" s="1337"/>
      <c r="I17" s="1337"/>
      <c r="J17" s="1342"/>
      <c r="K17" s="1339"/>
      <c r="L17" s="1337"/>
      <c r="M17" s="1338"/>
      <c r="N17" s="1337"/>
      <c r="O17" s="1337"/>
      <c r="P17" s="1338"/>
      <c r="Q17" s="1554" t="s">
        <v>559</v>
      </c>
      <c r="R17" s="1337"/>
      <c r="S17" s="1337"/>
      <c r="T17" s="1340"/>
      <c r="U17" s="1386" t="s">
        <v>559</v>
      </c>
      <c r="V17" s="1337"/>
      <c r="W17" s="1337"/>
      <c r="X17" s="1340"/>
      <c r="Y17" s="1337"/>
      <c r="Z17" s="1337"/>
      <c r="AA17" s="1342">
        <f t="shared" si="2"/>
        <v>0</v>
      </c>
      <c r="AB17" s="1339"/>
      <c r="AC17" s="1337"/>
      <c r="AD17" s="1340"/>
      <c r="AE17" s="1340">
        <f t="shared" si="1"/>
        <v>0</v>
      </c>
      <c r="AF17" s="1291"/>
      <c r="AG17" s="1291"/>
      <c r="AH17" s="1291"/>
      <c r="AI17" s="1291"/>
      <c r="AJ17" s="1291"/>
      <c r="AK17" s="1291"/>
      <c r="AL17" s="1291"/>
      <c r="AM17" s="1291"/>
      <c r="AN17" s="1291"/>
      <c r="AO17" s="1291"/>
      <c r="AP17" s="1291"/>
      <c r="AQ17" s="1291"/>
      <c r="AR17" s="1291"/>
      <c r="AS17" s="1291"/>
      <c r="AT17" s="1291"/>
      <c r="AU17" s="1291"/>
      <c r="AV17" s="1291"/>
      <c r="AW17" s="1291"/>
      <c r="AX17" s="1291"/>
      <c r="AY17" s="1291"/>
      <c r="AZ17" s="1291"/>
      <c r="BA17" s="1291"/>
      <c r="BB17" s="1291"/>
      <c r="BC17" s="1291"/>
      <c r="BD17" s="1291"/>
      <c r="BE17" s="1291"/>
      <c r="BF17" s="1291"/>
      <c r="BG17" s="1291"/>
      <c r="BH17" s="1291"/>
      <c r="BI17" s="1291"/>
      <c r="BJ17" s="1291"/>
      <c r="BK17" s="1291"/>
      <c r="BL17" s="1291"/>
      <c r="BM17" s="1291"/>
      <c r="BN17" s="1291"/>
      <c r="BO17" s="1291"/>
      <c r="BP17" s="1291"/>
      <c r="BQ17" s="1291"/>
      <c r="BR17" s="1291"/>
      <c r="BS17" s="1291"/>
      <c r="BT17" s="1291"/>
      <c r="BU17" s="1291"/>
      <c r="BV17" s="1291"/>
      <c r="BW17" s="1291"/>
      <c r="BX17" s="1291"/>
      <c r="BY17" s="1291"/>
      <c r="BZ17" s="1291"/>
      <c r="CA17" s="1291"/>
      <c r="CB17" s="1291"/>
      <c r="CC17" s="1291"/>
      <c r="CD17" s="1291"/>
      <c r="CE17" s="1291"/>
      <c r="CF17" s="1291"/>
      <c r="CG17" s="1291"/>
      <c r="CH17" s="1291"/>
      <c r="CI17" s="1291"/>
      <c r="CJ17" s="1291"/>
      <c r="CK17" s="1291"/>
      <c r="CL17" s="1291"/>
      <c r="CM17" s="1291"/>
      <c r="CN17" s="1291"/>
      <c r="CO17" s="1291"/>
      <c r="CP17" s="1291"/>
      <c r="CQ17" s="1291"/>
      <c r="CR17" s="1291"/>
      <c r="CS17" s="1291"/>
      <c r="CT17" s="1291"/>
      <c r="CU17" s="1291"/>
      <c r="CV17" s="1291"/>
      <c r="CW17" s="1291"/>
      <c r="CX17" s="1291"/>
      <c r="CY17" s="1291"/>
      <c r="CZ17" s="1291"/>
      <c r="DA17" s="1291"/>
      <c r="DB17" s="1291"/>
      <c r="DC17" s="1291"/>
      <c r="DD17" s="1291"/>
      <c r="DE17" s="1291"/>
      <c r="DF17" s="1291"/>
      <c r="DG17" s="1291"/>
      <c r="DH17" s="1291"/>
      <c r="DI17" s="1291"/>
      <c r="DJ17" s="1291"/>
      <c r="DK17" s="1291"/>
      <c r="DL17" s="1291"/>
      <c r="DM17" s="1291"/>
      <c r="DN17" s="1291"/>
      <c r="DO17" s="1291"/>
      <c r="DP17" s="1291"/>
      <c r="DQ17" s="1291"/>
      <c r="DR17" s="1291"/>
      <c r="DS17" s="1291"/>
      <c r="DT17" s="1291"/>
      <c r="DU17" s="1291"/>
      <c r="DV17" s="1291"/>
      <c r="DW17" s="1291"/>
      <c r="DX17" s="1291"/>
      <c r="DY17" s="1291"/>
      <c r="DZ17" s="1291"/>
      <c r="EA17" s="1291"/>
      <c r="EB17" s="1291"/>
      <c r="EC17" s="1291"/>
      <c r="ED17" s="1291"/>
      <c r="EE17" s="1291"/>
      <c r="EF17" s="1291"/>
      <c r="EG17" s="1291"/>
      <c r="EH17" s="1291"/>
      <c r="EI17" s="1291"/>
      <c r="EJ17" s="1291"/>
      <c r="EK17" s="1291"/>
      <c r="EL17" s="1291"/>
      <c r="EM17" s="1291"/>
      <c r="EN17" s="1291"/>
      <c r="EO17" s="1291"/>
      <c r="EP17" s="1291"/>
      <c r="EQ17" s="1291"/>
      <c r="ER17" s="1291"/>
      <c r="ES17" s="1291"/>
      <c r="ET17" s="1291"/>
      <c r="EU17" s="1291"/>
      <c r="EV17" s="1291"/>
      <c r="EW17" s="1291"/>
      <c r="EX17" s="1291"/>
      <c r="EY17" s="1291"/>
      <c r="EZ17" s="1291"/>
      <c r="FA17" s="1291"/>
      <c r="FB17" s="1291"/>
      <c r="FC17" s="1291"/>
      <c r="FD17" s="1291"/>
      <c r="FE17" s="1291"/>
      <c r="FF17" s="1291"/>
      <c r="FG17" s="1291"/>
      <c r="FH17" s="1291"/>
      <c r="FI17" s="1291"/>
      <c r="FJ17" s="1291"/>
      <c r="FK17" s="1291"/>
      <c r="FL17" s="1291"/>
      <c r="FM17" s="1291"/>
      <c r="FN17" s="1291"/>
      <c r="FO17" s="1291"/>
      <c r="FP17" s="1291"/>
      <c r="FQ17" s="1291"/>
      <c r="FR17" s="1291"/>
      <c r="FS17" s="1291"/>
      <c r="FT17" s="1291"/>
      <c r="FU17" s="1291"/>
      <c r="FV17" s="1291"/>
      <c r="FW17" s="1291"/>
      <c r="FX17" s="1291"/>
      <c r="FY17" s="1291"/>
      <c r="FZ17" s="1291"/>
      <c r="GA17" s="1291"/>
      <c r="GB17" s="1291"/>
      <c r="GC17" s="1291"/>
      <c r="GD17" s="1291"/>
      <c r="GE17" s="1291"/>
      <c r="GF17" s="1291"/>
      <c r="GG17" s="1291"/>
      <c r="GH17" s="1291"/>
      <c r="GI17" s="1291"/>
      <c r="GJ17" s="1291"/>
      <c r="GK17" s="1291"/>
      <c r="GL17" s="1291"/>
      <c r="GM17" s="1291"/>
      <c r="GN17" s="1291"/>
      <c r="GO17" s="1291"/>
      <c r="GP17" s="1291"/>
      <c r="GQ17" s="1291"/>
    </row>
    <row r="18" spans="1:199" hidden="1" x14ac:dyDescent="0.3">
      <c r="A18" s="1394" t="s">
        <v>560</v>
      </c>
      <c r="B18" s="1476"/>
      <c r="C18" s="1477"/>
      <c r="D18" s="1477"/>
      <c r="E18" s="1341"/>
      <c r="F18" s="1337"/>
      <c r="G18" s="1338"/>
      <c r="H18" s="1337"/>
      <c r="I18" s="1337"/>
      <c r="J18" s="1342"/>
      <c r="K18" s="1339"/>
      <c r="L18" s="1337"/>
      <c r="M18" s="1338"/>
      <c r="N18" s="1337"/>
      <c r="O18" s="1337"/>
      <c r="P18" s="1338"/>
      <c r="Q18" s="1554" t="s">
        <v>560</v>
      </c>
      <c r="R18" s="1337"/>
      <c r="S18" s="1337"/>
      <c r="T18" s="1340"/>
      <c r="U18" s="1386" t="s">
        <v>560</v>
      </c>
      <c r="V18" s="1337"/>
      <c r="W18" s="1337"/>
      <c r="X18" s="1340"/>
      <c r="Y18" s="1337"/>
      <c r="Z18" s="1337"/>
      <c r="AA18" s="1342">
        <f t="shared" si="2"/>
        <v>0</v>
      </c>
      <c r="AB18" s="1339"/>
      <c r="AC18" s="1337"/>
      <c r="AD18" s="1340"/>
      <c r="AE18" s="1340">
        <f t="shared" si="1"/>
        <v>0</v>
      </c>
      <c r="AF18" s="1291"/>
      <c r="AG18" s="1291"/>
      <c r="AH18" s="1291"/>
      <c r="AI18" s="1291"/>
      <c r="AJ18" s="1291"/>
      <c r="AK18" s="1291"/>
      <c r="AL18" s="1291"/>
      <c r="AM18" s="1291"/>
      <c r="AN18" s="1291"/>
      <c r="AO18" s="1291"/>
      <c r="AP18" s="1291"/>
      <c r="AQ18" s="1291"/>
      <c r="AR18" s="1291"/>
      <c r="AS18" s="1291"/>
      <c r="AT18" s="1291"/>
      <c r="AU18" s="1291"/>
      <c r="AV18" s="1291"/>
      <c r="AW18" s="1291"/>
      <c r="AX18" s="1291"/>
      <c r="AY18" s="1291"/>
      <c r="AZ18" s="1291"/>
      <c r="BA18" s="1291"/>
      <c r="BB18" s="1291"/>
      <c r="BC18" s="1291"/>
      <c r="BD18" s="1291"/>
      <c r="BE18" s="1291"/>
      <c r="BF18" s="1291"/>
      <c r="BG18" s="1291"/>
      <c r="BH18" s="1291"/>
      <c r="BI18" s="1291"/>
      <c r="BJ18" s="1291"/>
      <c r="BK18" s="1291"/>
      <c r="BL18" s="1291"/>
      <c r="BM18" s="1291"/>
      <c r="BN18" s="1291"/>
      <c r="BO18" s="1291"/>
      <c r="BP18" s="1291"/>
      <c r="BQ18" s="1291"/>
      <c r="BR18" s="1291"/>
      <c r="BS18" s="1291"/>
      <c r="BT18" s="1291"/>
      <c r="BU18" s="1291"/>
      <c r="BV18" s="1291"/>
      <c r="BW18" s="1291"/>
      <c r="BX18" s="1291"/>
      <c r="BY18" s="1291"/>
      <c r="BZ18" s="1291"/>
      <c r="CA18" s="1291"/>
      <c r="CB18" s="1291"/>
      <c r="CC18" s="1291"/>
      <c r="CD18" s="1291"/>
      <c r="CE18" s="1291"/>
      <c r="CF18" s="1291"/>
      <c r="CG18" s="1291"/>
      <c r="CH18" s="1291"/>
      <c r="CI18" s="1291"/>
      <c r="CJ18" s="1291"/>
      <c r="CK18" s="1291"/>
      <c r="CL18" s="1291"/>
      <c r="CM18" s="1291"/>
      <c r="CN18" s="1291"/>
      <c r="CO18" s="1291"/>
      <c r="CP18" s="1291"/>
      <c r="CQ18" s="1291"/>
      <c r="CR18" s="1291"/>
      <c r="CS18" s="1291"/>
      <c r="CT18" s="1291"/>
      <c r="CU18" s="1291"/>
      <c r="CV18" s="1291"/>
      <c r="CW18" s="1291"/>
      <c r="CX18" s="1291"/>
      <c r="CY18" s="1291"/>
      <c r="CZ18" s="1291"/>
      <c r="DA18" s="1291"/>
      <c r="DB18" s="1291"/>
      <c r="DC18" s="1291"/>
      <c r="DD18" s="1291"/>
      <c r="DE18" s="1291"/>
      <c r="DF18" s="1291"/>
      <c r="DG18" s="1291"/>
      <c r="DH18" s="1291"/>
      <c r="DI18" s="1291"/>
      <c r="DJ18" s="1291"/>
      <c r="DK18" s="1291"/>
      <c r="DL18" s="1291"/>
      <c r="DM18" s="1291"/>
      <c r="DN18" s="1291"/>
      <c r="DO18" s="1291"/>
      <c r="DP18" s="1291"/>
      <c r="DQ18" s="1291"/>
      <c r="DR18" s="1291"/>
      <c r="DS18" s="1291"/>
      <c r="DT18" s="1291"/>
      <c r="DU18" s="1291"/>
      <c r="DV18" s="1291"/>
      <c r="DW18" s="1291"/>
      <c r="DX18" s="1291"/>
      <c r="DY18" s="1291"/>
      <c r="DZ18" s="1291"/>
      <c r="EA18" s="1291"/>
      <c r="EB18" s="1291"/>
      <c r="EC18" s="1291"/>
      <c r="ED18" s="1291"/>
      <c r="EE18" s="1291"/>
      <c r="EF18" s="1291"/>
      <c r="EG18" s="1291"/>
      <c r="EH18" s="1291"/>
      <c r="EI18" s="1291"/>
      <c r="EJ18" s="1291"/>
      <c r="EK18" s="1291"/>
      <c r="EL18" s="1291"/>
      <c r="EM18" s="1291"/>
      <c r="EN18" s="1291"/>
      <c r="EO18" s="1291"/>
      <c r="EP18" s="1291"/>
      <c r="EQ18" s="1291"/>
      <c r="ER18" s="1291"/>
      <c r="ES18" s="1291"/>
      <c r="ET18" s="1291"/>
      <c r="EU18" s="1291"/>
      <c r="EV18" s="1291"/>
      <c r="EW18" s="1291"/>
      <c r="EX18" s="1291"/>
      <c r="EY18" s="1291"/>
      <c r="EZ18" s="1291"/>
      <c r="FA18" s="1291"/>
      <c r="FB18" s="1291"/>
      <c r="FC18" s="1291"/>
      <c r="FD18" s="1291"/>
      <c r="FE18" s="1291"/>
      <c r="FF18" s="1291"/>
      <c r="FG18" s="1291"/>
      <c r="FH18" s="1291"/>
      <c r="FI18" s="1291"/>
      <c r="FJ18" s="1291"/>
      <c r="FK18" s="1291"/>
      <c r="FL18" s="1291"/>
      <c r="FM18" s="1291"/>
      <c r="FN18" s="1291"/>
      <c r="FO18" s="1291"/>
      <c r="FP18" s="1291"/>
      <c r="FQ18" s="1291"/>
      <c r="FR18" s="1291"/>
      <c r="FS18" s="1291"/>
      <c r="FT18" s="1291"/>
      <c r="FU18" s="1291"/>
      <c r="FV18" s="1291"/>
      <c r="FW18" s="1291"/>
      <c r="FX18" s="1291"/>
      <c r="FY18" s="1291"/>
      <c r="FZ18" s="1291"/>
      <c r="GA18" s="1291"/>
      <c r="GB18" s="1291"/>
      <c r="GC18" s="1291"/>
      <c r="GD18" s="1291"/>
      <c r="GE18" s="1291"/>
      <c r="GF18" s="1291"/>
      <c r="GG18" s="1291"/>
      <c r="GH18" s="1291"/>
      <c r="GI18" s="1291"/>
      <c r="GJ18" s="1291"/>
      <c r="GK18" s="1291"/>
      <c r="GL18" s="1291"/>
      <c r="GM18" s="1291"/>
      <c r="GN18" s="1291"/>
      <c r="GO18" s="1291"/>
      <c r="GP18" s="1291"/>
      <c r="GQ18" s="1291"/>
    </row>
    <row r="19" spans="1:199" x14ac:dyDescent="0.3">
      <c r="A19" s="1394" t="s">
        <v>561</v>
      </c>
      <c r="B19" s="1476"/>
      <c r="C19" s="1477"/>
      <c r="D19" s="1477"/>
      <c r="E19" s="1341"/>
      <c r="F19" s="1337"/>
      <c r="G19" s="1338">
        <f>SUM(E19:F19)</f>
        <v>0</v>
      </c>
      <c r="H19" s="1484">
        <v>2000</v>
      </c>
      <c r="I19" s="1484">
        <v>3000</v>
      </c>
      <c r="J19" s="1342">
        <f>SUM(H19:I19)</f>
        <v>5000</v>
      </c>
      <c r="K19" s="1339"/>
      <c r="L19" s="1337"/>
      <c r="M19" s="1338"/>
      <c r="N19" s="1337"/>
      <c r="O19" s="1337"/>
      <c r="P19" s="1338">
        <f>SUM(N19:O19)</f>
        <v>0</v>
      </c>
      <c r="Q19" s="1554" t="s">
        <v>561</v>
      </c>
      <c r="R19" s="1337"/>
      <c r="S19" s="1337"/>
      <c r="T19" s="1340"/>
      <c r="U19" s="1386" t="s">
        <v>561</v>
      </c>
      <c r="V19" s="1337"/>
      <c r="W19" s="1337"/>
      <c r="X19" s="1340"/>
      <c r="Y19" s="1337"/>
      <c r="Z19" s="1337"/>
      <c r="AA19" s="1342">
        <f t="shared" si="2"/>
        <v>0</v>
      </c>
      <c r="AB19" s="1339">
        <v>1050</v>
      </c>
      <c r="AC19" s="1337">
        <v>1050</v>
      </c>
      <c r="AD19" s="1340">
        <f>SUM(AB19:AC19)</f>
        <v>2100</v>
      </c>
      <c r="AE19" s="1340">
        <f t="shared" si="1"/>
        <v>7100</v>
      </c>
      <c r="AF19" s="1291"/>
      <c r="AG19" s="1291"/>
      <c r="AH19" s="1291"/>
      <c r="AI19" s="1291"/>
      <c r="AJ19" s="1291"/>
      <c r="AK19" s="1291"/>
      <c r="AL19" s="1291"/>
      <c r="AM19" s="1291"/>
      <c r="AN19" s="1291"/>
      <c r="AO19" s="1291"/>
      <c r="AP19" s="1291"/>
      <c r="AQ19" s="1291"/>
      <c r="AR19" s="1291"/>
      <c r="AS19" s="1291"/>
      <c r="AT19" s="1291"/>
      <c r="AU19" s="1291"/>
      <c r="AV19" s="1291"/>
      <c r="AW19" s="1291"/>
      <c r="AX19" s="1291"/>
      <c r="AY19" s="1291"/>
      <c r="AZ19" s="1291"/>
      <c r="BA19" s="1291"/>
      <c r="BB19" s="1291"/>
      <c r="BC19" s="1291"/>
      <c r="BD19" s="1291"/>
      <c r="BE19" s="1291"/>
      <c r="BF19" s="1291"/>
      <c r="BG19" s="1291"/>
      <c r="BH19" s="1291"/>
      <c r="BI19" s="1291"/>
      <c r="BJ19" s="1291"/>
      <c r="BK19" s="1291"/>
      <c r="BL19" s="1291"/>
      <c r="BM19" s="1291"/>
      <c r="BN19" s="1291"/>
      <c r="BO19" s="1291"/>
      <c r="BP19" s="1291"/>
      <c r="BQ19" s="1291"/>
      <c r="BR19" s="1291"/>
      <c r="BS19" s="1291"/>
      <c r="BT19" s="1291"/>
      <c r="BU19" s="1291"/>
      <c r="BV19" s="1291"/>
      <c r="BW19" s="1291"/>
      <c r="BX19" s="1291"/>
      <c r="BY19" s="1291"/>
      <c r="BZ19" s="1291"/>
      <c r="CA19" s="1291"/>
      <c r="CB19" s="1291"/>
      <c r="CC19" s="1291"/>
      <c r="CD19" s="1291"/>
      <c r="CE19" s="1291"/>
      <c r="CF19" s="1291"/>
      <c r="CG19" s="1291"/>
      <c r="CH19" s="1291"/>
      <c r="CI19" s="1291"/>
      <c r="CJ19" s="1291"/>
      <c r="CK19" s="1291"/>
      <c r="CL19" s="1291"/>
      <c r="CM19" s="1291"/>
      <c r="CN19" s="1291"/>
      <c r="CO19" s="1291"/>
      <c r="CP19" s="1291"/>
      <c r="CQ19" s="1291"/>
      <c r="CR19" s="1291"/>
      <c r="CS19" s="1291"/>
      <c r="CT19" s="1291"/>
      <c r="CU19" s="1291"/>
      <c r="CV19" s="1291"/>
      <c r="CW19" s="1291"/>
      <c r="CX19" s="1291"/>
      <c r="CY19" s="1291"/>
      <c r="CZ19" s="1291"/>
      <c r="DA19" s="1291"/>
      <c r="DB19" s="1291"/>
      <c r="DC19" s="1291"/>
      <c r="DD19" s="1291"/>
      <c r="DE19" s="1291"/>
      <c r="DF19" s="1291"/>
      <c r="DG19" s="1291"/>
      <c r="DH19" s="1291"/>
      <c r="DI19" s="1291"/>
      <c r="DJ19" s="1291"/>
      <c r="DK19" s="1291"/>
      <c r="DL19" s="1291"/>
      <c r="DM19" s="1291"/>
      <c r="DN19" s="1291"/>
      <c r="DO19" s="1291"/>
      <c r="DP19" s="1291"/>
      <c r="DQ19" s="1291"/>
      <c r="DR19" s="1291"/>
      <c r="DS19" s="1291"/>
      <c r="DT19" s="1291"/>
      <c r="DU19" s="1291"/>
      <c r="DV19" s="1291"/>
      <c r="DW19" s="1291"/>
      <c r="DX19" s="1291"/>
      <c r="DY19" s="1291"/>
      <c r="DZ19" s="1291"/>
      <c r="EA19" s="1291"/>
      <c r="EB19" s="1291"/>
      <c r="EC19" s="1291"/>
      <c r="ED19" s="1291"/>
      <c r="EE19" s="1291"/>
      <c r="EF19" s="1291"/>
      <c r="EG19" s="1291"/>
      <c r="EH19" s="1291"/>
      <c r="EI19" s="1291"/>
      <c r="EJ19" s="1291"/>
      <c r="EK19" s="1291"/>
      <c r="EL19" s="1291"/>
      <c r="EM19" s="1291"/>
      <c r="EN19" s="1291"/>
      <c r="EO19" s="1291"/>
      <c r="EP19" s="1291"/>
      <c r="EQ19" s="1291"/>
      <c r="ER19" s="1291"/>
      <c r="ES19" s="1291"/>
      <c r="ET19" s="1291"/>
      <c r="EU19" s="1291"/>
      <c r="EV19" s="1291"/>
      <c r="EW19" s="1291"/>
      <c r="EX19" s="1291"/>
      <c r="EY19" s="1291"/>
      <c r="EZ19" s="1291"/>
      <c r="FA19" s="1291"/>
      <c r="FB19" s="1291"/>
      <c r="FC19" s="1291"/>
      <c r="FD19" s="1291"/>
      <c r="FE19" s="1291"/>
      <c r="FF19" s="1291"/>
      <c r="FG19" s="1291"/>
      <c r="FH19" s="1291"/>
      <c r="FI19" s="1291"/>
      <c r="FJ19" s="1291"/>
      <c r="FK19" s="1291"/>
      <c r="FL19" s="1291"/>
      <c r="FM19" s="1291"/>
      <c r="FN19" s="1291"/>
      <c r="FO19" s="1291"/>
      <c r="FP19" s="1291"/>
      <c r="FQ19" s="1291"/>
      <c r="FR19" s="1291"/>
      <c r="FS19" s="1291"/>
      <c r="FT19" s="1291"/>
      <c r="FU19" s="1291"/>
      <c r="FV19" s="1291"/>
      <c r="FW19" s="1291"/>
      <c r="FX19" s="1291"/>
      <c r="FY19" s="1291"/>
      <c r="FZ19" s="1291"/>
      <c r="GA19" s="1291"/>
      <c r="GB19" s="1291"/>
      <c r="GC19" s="1291"/>
      <c r="GD19" s="1291"/>
      <c r="GE19" s="1291"/>
      <c r="GF19" s="1291"/>
      <c r="GG19" s="1291"/>
      <c r="GH19" s="1291"/>
      <c r="GI19" s="1291"/>
      <c r="GJ19" s="1291"/>
      <c r="GK19" s="1291"/>
      <c r="GL19" s="1291"/>
      <c r="GM19" s="1291"/>
      <c r="GN19" s="1291"/>
      <c r="GO19" s="1291"/>
      <c r="GP19" s="1291"/>
      <c r="GQ19" s="1291"/>
    </row>
    <row r="20" spans="1:199" x14ac:dyDescent="0.3">
      <c r="A20" s="1395" t="s">
        <v>562</v>
      </c>
      <c r="B20" s="1463">
        <f>SUM(B21:B25)</f>
        <v>80000</v>
      </c>
      <c r="C20" s="1464">
        <f>SUM(C21:C25)</f>
        <v>550000</v>
      </c>
      <c r="D20" s="1464">
        <f>SUM(D21:D25)</f>
        <v>27200</v>
      </c>
      <c r="E20" s="1350">
        <f>SUM(E21:E25)</f>
        <v>34500</v>
      </c>
      <c r="F20" s="1347">
        <f>SUM(F21:F25)</f>
        <v>0</v>
      </c>
      <c r="G20" s="1348">
        <f>SUM(E20:F20)</f>
        <v>34500</v>
      </c>
      <c r="H20" s="1347">
        <f>SUM(H21:H25)</f>
        <v>75000</v>
      </c>
      <c r="I20" s="1347">
        <f>SUM(I21:I25)</f>
        <v>0</v>
      </c>
      <c r="J20" s="1351">
        <f>SUM(H20:I20)</f>
        <v>75000</v>
      </c>
      <c r="K20" s="1349">
        <f>SUM(K21:K25)</f>
        <v>99000</v>
      </c>
      <c r="L20" s="1347">
        <f>SUM(L21:L25)</f>
        <v>0</v>
      </c>
      <c r="M20" s="1348">
        <f>SUM(K20:L20)</f>
        <v>99000</v>
      </c>
      <c r="N20" s="1347">
        <f>SUM(N21:N25)</f>
        <v>70000</v>
      </c>
      <c r="O20" s="1347">
        <f>SUM(O21:O25)</f>
        <v>0</v>
      </c>
      <c r="P20" s="1348">
        <f>SUM(N20:O20)</f>
        <v>70000</v>
      </c>
      <c r="Q20" s="1555" t="s">
        <v>562</v>
      </c>
      <c r="R20" s="1347">
        <f>SUM(R21:R25)</f>
        <v>0</v>
      </c>
      <c r="S20" s="1347">
        <f>SUM(S21:S25)</f>
        <v>0</v>
      </c>
      <c r="T20" s="1348"/>
      <c r="U20" s="1387" t="s">
        <v>562</v>
      </c>
      <c r="V20" s="1347">
        <f>SUM(V21:V25)</f>
        <v>0</v>
      </c>
      <c r="W20" s="1347">
        <f>SUM(W21:W25)</f>
        <v>0</v>
      </c>
      <c r="X20" s="1348"/>
      <c r="Y20" s="1347">
        <f>SUM(Y21:Y25)</f>
        <v>19398</v>
      </c>
      <c r="Z20" s="1347">
        <f>SUM(Z21:Z25)</f>
        <v>0</v>
      </c>
      <c r="AA20" s="1351">
        <f t="shared" si="2"/>
        <v>19398</v>
      </c>
      <c r="AB20" s="1349">
        <f>SUM(AB21:AB25)</f>
        <v>30000</v>
      </c>
      <c r="AC20" s="1347">
        <f>SUM(AC21:AC25)</f>
        <v>0</v>
      </c>
      <c r="AD20" s="1348">
        <f>SUM(AB20:AC20)</f>
        <v>30000</v>
      </c>
      <c r="AE20" s="1348">
        <f t="shared" si="1"/>
        <v>985098</v>
      </c>
      <c r="AF20" s="1291"/>
      <c r="AG20" s="1291"/>
      <c r="AH20" s="1291"/>
      <c r="AI20" s="1291"/>
      <c r="AJ20" s="1291"/>
      <c r="AK20" s="1291"/>
      <c r="AL20" s="1291"/>
      <c r="AM20" s="1291"/>
      <c r="AN20" s="1291"/>
      <c r="AO20" s="1291"/>
      <c r="AP20" s="1291"/>
      <c r="AQ20" s="1291"/>
      <c r="AR20" s="1291"/>
      <c r="AS20" s="1291"/>
      <c r="AT20" s="1291"/>
      <c r="AU20" s="1291"/>
      <c r="AV20" s="1291"/>
      <c r="AW20" s="1291"/>
      <c r="AX20" s="1291"/>
      <c r="AY20" s="1291"/>
      <c r="AZ20" s="1291"/>
      <c r="BA20" s="1291"/>
      <c r="BB20" s="1291"/>
      <c r="BC20" s="1291"/>
      <c r="BD20" s="1291"/>
      <c r="BE20" s="1291"/>
      <c r="BF20" s="1291"/>
      <c r="BG20" s="1291"/>
      <c r="BH20" s="1291"/>
      <c r="BI20" s="1291"/>
      <c r="BJ20" s="1291"/>
      <c r="BK20" s="1291"/>
      <c r="BL20" s="1291"/>
      <c r="BM20" s="1291"/>
      <c r="BN20" s="1291"/>
      <c r="BO20" s="1291"/>
      <c r="BP20" s="1291"/>
      <c r="BQ20" s="1291"/>
      <c r="BR20" s="1291"/>
      <c r="BS20" s="1291"/>
      <c r="BT20" s="1291"/>
      <c r="BU20" s="1291"/>
      <c r="BV20" s="1291"/>
      <c r="BW20" s="1291"/>
      <c r="BX20" s="1291"/>
      <c r="BY20" s="1291"/>
      <c r="BZ20" s="1291"/>
      <c r="CA20" s="1291"/>
      <c r="CB20" s="1291"/>
      <c r="CC20" s="1291"/>
      <c r="CD20" s="1291"/>
      <c r="CE20" s="1291"/>
      <c r="CF20" s="1291"/>
      <c r="CG20" s="1291"/>
      <c r="CH20" s="1291"/>
      <c r="CI20" s="1291"/>
      <c r="CJ20" s="1291"/>
      <c r="CK20" s="1291"/>
      <c r="CL20" s="1291"/>
      <c r="CM20" s="1291"/>
      <c r="CN20" s="1291"/>
      <c r="CO20" s="1291"/>
      <c r="CP20" s="1291"/>
      <c r="CQ20" s="1291"/>
      <c r="CR20" s="1291"/>
      <c r="CS20" s="1291"/>
      <c r="CT20" s="1291"/>
      <c r="CU20" s="1291"/>
      <c r="CV20" s="1291"/>
      <c r="CW20" s="1291"/>
      <c r="CX20" s="1291"/>
      <c r="CY20" s="1291"/>
      <c r="CZ20" s="1291"/>
      <c r="DA20" s="1291"/>
      <c r="DB20" s="1291"/>
      <c r="DC20" s="1291"/>
      <c r="DD20" s="1291"/>
      <c r="DE20" s="1291"/>
      <c r="DF20" s="1291"/>
      <c r="DG20" s="1291"/>
      <c r="DH20" s="1291"/>
      <c r="DI20" s="1291"/>
      <c r="DJ20" s="1291"/>
      <c r="DK20" s="1291"/>
      <c r="DL20" s="1291"/>
      <c r="DM20" s="1291"/>
      <c r="DN20" s="1291"/>
      <c r="DO20" s="1291"/>
      <c r="DP20" s="1291"/>
      <c r="DQ20" s="1291"/>
      <c r="DR20" s="1291"/>
      <c r="DS20" s="1291"/>
      <c r="DT20" s="1291"/>
      <c r="DU20" s="1291"/>
      <c r="DV20" s="1291"/>
      <c r="DW20" s="1291"/>
      <c r="DX20" s="1291"/>
      <c r="DY20" s="1291"/>
      <c r="DZ20" s="1291"/>
      <c r="EA20" s="1291"/>
      <c r="EB20" s="1291"/>
      <c r="EC20" s="1291"/>
      <c r="ED20" s="1291"/>
      <c r="EE20" s="1291"/>
      <c r="EF20" s="1291"/>
      <c r="EG20" s="1291"/>
      <c r="EH20" s="1291"/>
      <c r="EI20" s="1291"/>
      <c r="EJ20" s="1291"/>
      <c r="EK20" s="1291"/>
      <c r="EL20" s="1291"/>
      <c r="EM20" s="1291"/>
      <c r="EN20" s="1291"/>
      <c r="EO20" s="1291"/>
      <c r="EP20" s="1291"/>
      <c r="EQ20" s="1291"/>
      <c r="ER20" s="1291"/>
      <c r="ES20" s="1291"/>
      <c r="ET20" s="1291"/>
      <c r="EU20" s="1291"/>
      <c r="EV20" s="1291"/>
      <c r="EW20" s="1291"/>
      <c r="EX20" s="1291"/>
      <c r="EY20" s="1291"/>
      <c r="EZ20" s="1291"/>
      <c r="FA20" s="1291"/>
      <c r="FB20" s="1291"/>
      <c r="FC20" s="1291"/>
      <c r="FD20" s="1291"/>
      <c r="FE20" s="1291"/>
      <c r="FF20" s="1291"/>
      <c r="FG20" s="1291"/>
      <c r="FH20" s="1291"/>
      <c r="FI20" s="1291"/>
      <c r="FJ20" s="1291"/>
      <c r="FK20" s="1291"/>
      <c r="FL20" s="1291"/>
      <c r="FM20" s="1291"/>
      <c r="FN20" s="1291"/>
      <c r="FO20" s="1291"/>
      <c r="FP20" s="1291"/>
      <c r="FQ20" s="1291"/>
      <c r="FR20" s="1291"/>
      <c r="FS20" s="1291"/>
      <c r="FT20" s="1291"/>
      <c r="FU20" s="1291"/>
      <c r="FV20" s="1291"/>
      <c r="FW20" s="1291"/>
      <c r="FX20" s="1291"/>
      <c r="FY20" s="1291"/>
      <c r="FZ20" s="1291"/>
      <c r="GA20" s="1291"/>
      <c r="GB20" s="1291"/>
      <c r="GC20" s="1291"/>
      <c r="GD20" s="1291"/>
      <c r="GE20" s="1291"/>
      <c r="GF20" s="1291"/>
      <c r="GG20" s="1291"/>
      <c r="GH20" s="1291"/>
      <c r="GI20" s="1291"/>
      <c r="GJ20" s="1291"/>
      <c r="GK20" s="1291"/>
      <c r="GL20" s="1291"/>
      <c r="GM20" s="1291"/>
      <c r="GN20" s="1291"/>
      <c r="GO20" s="1291"/>
      <c r="GP20" s="1291"/>
      <c r="GQ20" s="1291"/>
    </row>
    <row r="21" spans="1:199" x14ac:dyDescent="0.3">
      <c r="A21" s="1394" t="s">
        <v>563</v>
      </c>
      <c r="B21" s="1476"/>
      <c r="C21" s="1477">
        <f>50000+200000</f>
        <v>250000</v>
      </c>
      <c r="D21" s="1477">
        <v>4200</v>
      </c>
      <c r="E21" s="1341">
        <v>15000</v>
      </c>
      <c r="F21" s="1337"/>
      <c r="G21" s="1338">
        <f>SUM(E21:F21)</f>
        <v>15000</v>
      </c>
      <c r="H21" s="1332">
        <v>15000</v>
      </c>
      <c r="I21" s="1332"/>
      <c r="J21" s="1342">
        <f>SUM(H21:I21)</f>
        <v>15000</v>
      </c>
      <c r="K21" s="1339">
        <v>2000</v>
      </c>
      <c r="L21" s="1337"/>
      <c r="M21" s="1338">
        <f>SUM(K21:L21)</f>
        <v>2000</v>
      </c>
      <c r="N21" s="1337"/>
      <c r="O21" s="1337"/>
      <c r="P21" s="1338">
        <f>SUM(N21:O21)</f>
        <v>0</v>
      </c>
      <c r="Q21" s="1554" t="s">
        <v>563</v>
      </c>
      <c r="R21" s="1337"/>
      <c r="S21" s="1337"/>
      <c r="T21" s="1340"/>
      <c r="U21" s="1386" t="s">
        <v>563</v>
      </c>
      <c r="V21" s="1337"/>
      <c r="W21" s="1337"/>
      <c r="X21" s="1340"/>
      <c r="Y21" s="1353"/>
      <c r="Z21" s="1353"/>
      <c r="AA21" s="1342">
        <f t="shared" si="2"/>
        <v>0</v>
      </c>
      <c r="AB21" s="1339"/>
      <c r="AC21" s="1337"/>
      <c r="AD21" s="1340">
        <f>SUM(AB21:AC21)</f>
        <v>0</v>
      </c>
      <c r="AE21" s="1340">
        <f t="shared" si="1"/>
        <v>286200</v>
      </c>
      <c r="AF21" s="1291"/>
      <c r="AG21" s="1291"/>
      <c r="AH21" s="1291"/>
      <c r="AI21" s="1291"/>
      <c r="AJ21" s="1291"/>
      <c r="AK21" s="1291"/>
      <c r="AL21" s="1291"/>
      <c r="AM21" s="1291"/>
      <c r="AN21" s="1291"/>
      <c r="AO21" s="1291"/>
      <c r="AP21" s="1291"/>
      <c r="AQ21" s="1291"/>
      <c r="AR21" s="1291"/>
      <c r="AS21" s="1291"/>
      <c r="AT21" s="1291"/>
      <c r="AU21" s="1291"/>
      <c r="AV21" s="1291"/>
      <c r="AW21" s="1291"/>
      <c r="AX21" s="1291"/>
      <c r="AY21" s="1291"/>
      <c r="AZ21" s="1291"/>
      <c r="BA21" s="1291"/>
      <c r="BB21" s="1291"/>
      <c r="BC21" s="1291"/>
      <c r="BD21" s="1291"/>
      <c r="BE21" s="1291"/>
      <c r="BF21" s="1291"/>
      <c r="BG21" s="1291"/>
      <c r="BH21" s="1291"/>
      <c r="BI21" s="1291"/>
      <c r="BJ21" s="1291"/>
      <c r="BK21" s="1291"/>
      <c r="BL21" s="1291"/>
      <c r="BM21" s="1291"/>
      <c r="BN21" s="1291"/>
      <c r="BO21" s="1291"/>
      <c r="BP21" s="1291"/>
      <c r="BQ21" s="1291"/>
      <c r="BR21" s="1291"/>
      <c r="BS21" s="1291"/>
      <c r="BT21" s="1291"/>
      <c r="BU21" s="1291"/>
      <c r="BV21" s="1291"/>
      <c r="BW21" s="1291"/>
      <c r="BX21" s="1291"/>
      <c r="BY21" s="1291"/>
      <c r="BZ21" s="1291"/>
      <c r="CA21" s="1291"/>
      <c r="CB21" s="1291"/>
      <c r="CC21" s="1291"/>
      <c r="CD21" s="1291"/>
      <c r="CE21" s="1291"/>
      <c r="CF21" s="1291"/>
      <c r="CG21" s="1291"/>
      <c r="CH21" s="1291"/>
      <c r="CI21" s="1291"/>
      <c r="CJ21" s="1291"/>
      <c r="CK21" s="1291"/>
      <c r="CL21" s="1291"/>
      <c r="CM21" s="1291"/>
      <c r="CN21" s="1291"/>
      <c r="CO21" s="1291"/>
      <c r="CP21" s="1291"/>
      <c r="CQ21" s="1291"/>
      <c r="CR21" s="1291"/>
      <c r="CS21" s="1291"/>
      <c r="CT21" s="1291"/>
      <c r="CU21" s="1291"/>
      <c r="CV21" s="1291"/>
      <c r="CW21" s="1291"/>
      <c r="CX21" s="1291"/>
      <c r="CY21" s="1291"/>
      <c r="CZ21" s="1291"/>
      <c r="DA21" s="1291"/>
      <c r="DB21" s="1291"/>
      <c r="DC21" s="1291"/>
      <c r="DD21" s="1291"/>
      <c r="DE21" s="1291"/>
      <c r="DF21" s="1291"/>
      <c r="DG21" s="1291"/>
      <c r="DH21" s="1291"/>
      <c r="DI21" s="1291"/>
      <c r="DJ21" s="1291"/>
      <c r="DK21" s="1291"/>
      <c r="DL21" s="1291"/>
      <c r="DM21" s="1291"/>
      <c r="DN21" s="1291"/>
      <c r="DO21" s="1291"/>
      <c r="DP21" s="1291"/>
      <c r="DQ21" s="1291"/>
      <c r="DR21" s="1291"/>
      <c r="DS21" s="1291"/>
      <c r="DT21" s="1291"/>
      <c r="DU21" s="1291"/>
      <c r="DV21" s="1291"/>
      <c r="DW21" s="1291"/>
      <c r="DX21" s="1291"/>
      <c r="DY21" s="1291"/>
      <c r="DZ21" s="1291"/>
      <c r="EA21" s="1291"/>
      <c r="EB21" s="1291"/>
      <c r="EC21" s="1291"/>
      <c r="ED21" s="1291"/>
      <c r="EE21" s="1291"/>
      <c r="EF21" s="1291"/>
      <c r="EG21" s="1291"/>
      <c r="EH21" s="1291"/>
      <c r="EI21" s="1291"/>
      <c r="EJ21" s="1291"/>
      <c r="EK21" s="1291"/>
      <c r="EL21" s="1291"/>
      <c r="EM21" s="1291"/>
      <c r="EN21" s="1291"/>
      <c r="EO21" s="1291"/>
      <c r="EP21" s="1291"/>
      <c r="EQ21" s="1291"/>
      <c r="ER21" s="1291"/>
      <c r="ES21" s="1291"/>
      <c r="ET21" s="1291"/>
      <c r="EU21" s="1291"/>
      <c r="EV21" s="1291"/>
      <c r="EW21" s="1291"/>
      <c r="EX21" s="1291"/>
      <c r="EY21" s="1291"/>
      <c r="EZ21" s="1291"/>
      <c r="FA21" s="1291"/>
      <c r="FB21" s="1291"/>
      <c r="FC21" s="1291"/>
      <c r="FD21" s="1291"/>
      <c r="FE21" s="1291"/>
      <c r="FF21" s="1291"/>
      <c r="FG21" s="1291"/>
      <c r="FH21" s="1291"/>
      <c r="FI21" s="1291"/>
      <c r="FJ21" s="1291"/>
      <c r="FK21" s="1291"/>
      <c r="FL21" s="1291"/>
      <c r="FM21" s="1291"/>
      <c r="FN21" s="1291"/>
      <c r="FO21" s="1291"/>
      <c r="FP21" s="1291"/>
      <c r="FQ21" s="1291"/>
      <c r="FR21" s="1291"/>
      <c r="FS21" s="1291"/>
      <c r="FT21" s="1291"/>
      <c r="FU21" s="1291"/>
      <c r="FV21" s="1291"/>
      <c r="FW21" s="1291"/>
      <c r="FX21" s="1291"/>
      <c r="FY21" s="1291"/>
      <c r="FZ21" s="1291"/>
      <c r="GA21" s="1291"/>
      <c r="GB21" s="1291"/>
      <c r="GC21" s="1291"/>
      <c r="GD21" s="1291"/>
      <c r="GE21" s="1291"/>
      <c r="GF21" s="1291"/>
      <c r="GG21" s="1291"/>
      <c r="GH21" s="1291"/>
      <c r="GI21" s="1291"/>
      <c r="GJ21" s="1291"/>
      <c r="GK21" s="1291"/>
      <c r="GL21" s="1291"/>
      <c r="GM21" s="1291"/>
      <c r="GN21" s="1291"/>
      <c r="GO21" s="1291"/>
      <c r="GP21" s="1291"/>
      <c r="GQ21" s="1291"/>
    </row>
    <row r="22" spans="1:199" x14ac:dyDescent="0.3">
      <c r="A22" s="1394" t="s">
        <v>564</v>
      </c>
      <c r="B22" s="1476"/>
      <c r="C22" s="1477">
        <v>100000</v>
      </c>
      <c r="D22" s="1477"/>
      <c r="E22" s="1341"/>
      <c r="F22" s="1337"/>
      <c r="G22" s="1338"/>
      <c r="H22" s="1337"/>
      <c r="I22" s="1337"/>
      <c r="J22" s="1342"/>
      <c r="K22" s="1339"/>
      <c r="L22" s="1337"/>
      <c r="M22" s="1338"/>
      <c r="N22" s="1337"/>
      <c r="O22" s="1337"/>
      <c r="P22" s="1338"/>
      <c r="Q22" s="1554" t="s">
        <v>564</v>
      </c>
      <c r="R22" s="1337"/>
      <c r="S22" s="1337"/>
      <c r="T22" s="1340"/>
      <c r="U22" s="1386" t="s">
        <v>564</v>
      </c>
      <c r="V22" s="1337"/>
      <c r="W22" s="1337"/>
      <c r="X22" s="1340"/>
      <c r="Y22" s="1337"/>
      <c r="Z22" s="1337"/>
      <c r="AA22" s="1342"/>
      <c r="AB22" s="1339"/>
      <c r="AC22" s="1337"/>
      <c r="AD22" s="1340"/>
      <c r="AE22" s="1340">
        <f t="shared" si="1"/>
        <v>100000</v>
      </c>
      <c r="AF22" s="1291"/>
      <c r="AG22" s="1291"/>
      <c r="AH22" s="1291"/>
      <c r="AI22" s="1291"/>
      <c r="AJ22" s="1291"/>
      <c r="AK22" s="1291"/>
      <c r="AL22" s="1291"/>
      <c r="AM22" s="1291"/>
      <c r="AN22" s="1291"/>
      <c r="AO22" s="1291"/>
      <c r="AP22" s="1291"/>
      <c r="AQ22" s="1291"/>
      <c r="AR22" s="1291"/>
      <c r="AS22" s="1291"/>
      <c r="AT22" s="1291"/>
      <c r="AU22" s="1291"/>
      <c r="AV22" s="1291"/>
      <c r="AW22" s="1291"/>
      <c r="AX22" s="1291"/>
      <c r="AY22" s="1291"/>
      <c r="AZ22" s="1291"/>
      <c r="BA22" s="1291"/>
      <c r="BB22" s="1291"/>
      <c r="BC22" s="1291"/>
      <c r="BD22" s="1291"/>
      <c r="BE22" s="1291"/>
      <c r="BF22" s="1291"/>
      <c r="BG22" s="1291"/>
      <c r="BH22" s="1291"/>
      <c r="BI22" s="1291"/>
      <c r="BJ22" s="1291"/>
      <c r="BK22" s="1291"/>
      <c r="BL22" s="1291"/>
      <c r="BM22" s="1291"/>
      <c r="BN22" s="1291"/>
      <c r="BO22" s="1291"/>
      <c r="BP22" s="1291"/>
      <c r="BQ22" s="1291"/>
      <c r="BR22" s="1291"/>
      <c r="BS22" s="1291"/>
      <c r="BT22" s="1291"/>
      <c r="BU22" s="1291"/>
      <c r="BV22" s="1291"/>
      <c r="BW22" s="1291"/>
      <c r="BX22" s="1291"/>
      <c r="BY22" s="1291"/>
      <c r="BZ22" s="1291"/>
      <c r="CA22" s="1291"/>
      <c r="CB22" s="1291"/>
      <c r="CC22" s="1291"/>
      <c r="CD22" s="1291"/>
      <c r="CE22" s="1291"/>
      <c r="CF22" s="1291"/>
      <c r="CG22" s="1291"/>
      <c r="CH22" s="1291"/>
      <c r="CI22" s="1291"/>
      <c r="CJ22" s="1291"/>
      <c r="CK22" s="1291"/>
      <c r="CL22" s="1291"/>
      <c r="CM22" s="1291"/>
      <c r="CN22" s="1291"/>
      <c r="CO22" s="1291"/>
      <c r="CP22" s="1291"/>
      <c r="CQ22" s="1291"/>
      <c r="CR22" s="1291"/>
      <c r="CS22" s="1291"/>
      <c r="CT22" s="1291"/>
      <c r="CU22" s="1291"/>
      <c r="CV22" s="1291"/>
      <c r="CW22" s="1291"/>
      <c r="CX22" s="1291"/>
      <c r="CY22" s="1291"/>
      <c r="CZ22" s="1291"/>
      <c r="DA22" s="1291"/>
      <c r="DB22" s="1291"/>
      <c r="DC22" s="1291"/>
      <c r="DD22" s="1291"/>
      <c r="DE22" s="1291"/>
      <c r="DF22" s="1291"/>
      <c r="DG22" s="1291"/>
      <c r="DH22" s="1291"/>
      <c r="DI22" s="1291"/>
      <c r="DJ22" s="1291"/>
      <c r="DK22" s="1291"/>
      <c r="DL22" s="1291"/>
      <c r="DM22" s="1291"/>
      <c r="DN22" s="1291"/>
      <c r="DO22" s="1291"/>
      <c r="DP22" s="1291"/>
      <c r="DQ22" s="1291"/>
      <c r="DR22" s="1291"/>
      <c r="DS22" s="1291"/>
      <c r="DT22" s="1291"/>
      <c r="DU22" s="1291"/>
      <c r="DV22" s="1291"/>
      <c r="DW22" s="1291"/>
      <c r="DX22" s="1291"/>
      <c r="DY22" s="1291"/>
      <c r="DZ22" s="1291"/>
      <c r="EA22" s="1291"/>
      <c r="EB22" s="1291"/>
      <c r="EC22" s="1291"/>
      <c r="ED22" s="1291"/>
      <c r="EE22" s="1291"/>
      <c r="EF22" s="1291"/>
      <c r="EG22" s="1291"/>
      <c r="EH22" s="1291"/>
      <c r="EI22" s="1291"/>
      <c r="EJ22" s="1291"/>
      <c r="EK22" s="1291"/>
      <c r="EL22" s="1291"/>
      <c r="EM22" s="1291"/>
      <c r="EN22" s="1291"/>
      <c r="EO22" s="1291"/>
      <c r="EP22" s="1291"/>
      <c r="EQ22" s="1291"/>
      <c r="ER22" s="1291"/>
      <c r="ES22" s="1291"/>
      <c r="ET22" s="1291"/>
      <c r="EU22" s="1291"/>
      <c r="EV22" s="1291"/>
      <c r="EW22" s="1291"/>
      <c r="EX22" s="1291"/>
      <c r="EY22" s="1291"/>
      <c r="EZ22" s="1291"/>
      <c r="FA22" s="1291"/>
      <c r="FB22" s="1291"/>
      <c r="FC22" s="1291"/>
      <c r="FD22" s="1291"/>
      <c r="FE22" s="1291"/>
      <c r="FF22" s="1291"/>
      <c r="FG22" s="1291"/>
      <c r="FH22" s="1291"/>
      <c r="FI22" s="1291"/>
      <c r="FJ22" s="1291"/>
      <c r="FK22" s="1291"/>
      <c r="FL22" s="1291"/>
      <c r="FM22" s="1291"/>
      <c r="FN22" s="1291"/>
      <c r="FO22" s="1291"/>
      <c r="FP22" s="1291"/>
      <c r="FQ22" s="1291"/>
      <c r="FR22" s="1291"/>
      <c r="FS22" s="1291"/>
      <c r="FT22" s="1291"/>
      <c r="FU22" s="1291"/>
      <c r="FV22" s="1291"/>
      <c r="FW22" s="1291"/>
      <c r="FX22" s="1291"/>
      <c r="FY22" s="1291"/>
      <c r="FZ22" s="1291"/>
      <c r="GA22" s="1291"/>
      <c r="GB22" s="1291"/>
      <c r="GC22" s="1291"/>
      <c r="GD22" s="1291"/>
      <c r="GE22" s="1291"/>
      <c r="GF22" s="1291"/>
      <c r="GG22" s="1291"/>
      <c r="GH22" s="1291"/>
      <c r="GI22" s="1291"/>
      <c r="GJ22" s="1291"/>
      <c r="GK22" s="1291"/>
      <c r="GL22" s="1291"/>
      <c r="GM22" s="1291"/>
      <c r="GN22" s="1291"/>
      <c r="GO22" s="1291"/>
      <c r="GP22" s="1291"/>
      <c r="GQ22" s="1291"/>
    </row>
    <row r="23" spans="1:199" hidden="1" x14ac:dyDescent="0.3">
      <c r="A23" s="1394" t="s">
        <v>565</v>
      </c>
      <c r="B23" s="1476"/>
      <c r="C23" s="1477"/>
      <c r="D23" s="1477"/>
      <c r="E23" s="1341"/>
      <c r="F23" s="1337"/>
      <c r="G23" s="1338"/>
      <c r="H23" s="1337"/>
      <c r="I23" s="1337"/>
      <c r="J23" s="1342"/>
      <c r="K23" s="1339"/>
      <c r="L23" s="1337"/>
      <c r="M23" s="1338"/>
      <c r="N23" s="1337"/>
      <c r="O23" s="1337"/>
      <c r="P23" s="1338"/>
      <c r="Q23" s="1554" t="s">
        <v>565</v>
      </c>
      <c r="R23" s="1337"/>
      <c r="S23" s="1337"/>
      <c r="T23" s="1340"/>
      <c r="U23" s="1386" t="s">
        <v>565</v>
      </c>
      <c r="V23" s="1337"/>
      <c r="W23" s="1337"/>
      <c r="X23" s="1340"/>
      <c r="Y23" s="1337"/>
      <c r="Z23" s="1337"/>
      <c r="AA23" s="1342"/>
      <c r="AB23" s="1339"/>
      <c r="AC23" s="1337"/>
      <c r="AD23" s="1340"/>
      <c r="AE23" s="1340">
        <f t="shared" si="1"/>
        <v>0</v>
      </c>
      <c r="AF23" s="1291"/>
      <c r="AG23" s="1291"/>
      <c r="AH23" s="1291"/>
      <c r="AI23" s="1291"/>
      <c r="AJ23" s="1291"/>
      <c r="AK23" s="1291"/>
      <c r="AL23" s="1291"/>
      <c r="AM23" s="1291"/>
      <c r="AN23" s="1291"/>
      <c r="AO23" s="1291"/>
      <c r="AP23" s="1291"/>
      <c r="AQ23" s="1291"/>
      <c r="AR23" s="1291"/>
      <c r="AS23" s="1291"/>
      <c r="AT23" s="1291"/>
      <c r="AU23" s="1291"/>
      <c r="AV23" s="1291"/>
      <c r="AW23" s="1291"/>
      <c r="AX23" s="1291"/>
      <c r="AY23" s="1291"/>
      <c r="AZ23" s="1291"/>
      <c r="BA23" s="1291"/>
      <c r="BB23" s="1291"/>
      <c r="BC23" s="1291"/>
      <c r="BD23" s="1291"/>
      <c r="BE23" s="1291"/>
      <c r="BF23" s="1291"/>
      <c r="BG23" s="1291"/>
      <c r="BH23" s="1291"/>
      <c r="BI23" s="1291"/>
      <c r="BJ23" s="1291"/>
      <c r="BK23" s="1291"/>
      <c r="BL23" s="1291"/>
      <c r="BM23" s="1291"/>
      <c r="BN23" s="1291"/>
      <c r="BO23" s="1291"/>
      <c r="BP23" s="1291"/>
      <c r="BQ23" s="1291"/>
      <c r="BR23" s="1291"/>
      <c r="BS23" s="1291"/>
      <c r="BT23" s="1291"/>
      <c r="BU23" s="1291"/>
      <c r="BV23" s="1291"/>
      <c r="BW23" s="1291"/>
      <c r="BX23" s="1291"/>
      <c r="BY23" s="1291"/>
      <c r="BZ23" s="1291"/>
      <c r="CA23" s="1291"/>
      <c r="CB23" s="1291"/>
      <c r="CC23" s="1291"/>
      <c r="CD23" s="1291"/>
      <c r="CE23" s="1291"/>
      <c r="CF23" s="1291"/>
      <c r="CG23" s="1291"/>
      <c r="CH23" s="1291"/>
      <c r="CI23" s="1291"/>
      <c r="CJ23" s="1291"/>
      <c r="CK23" s="1291"/>
      <c r="CL23" s="1291"/>
      <c r="CM23" s="1291"/>
      <c r="CN23" s="1291"/>
      <c r="CO23" s="1291"/>
      <c r="CP23" s="1291"/>
      <c r="CQ23" s="1291"/>
      <c r="CR23" s="1291"/>
      <c r="CS23" s="1291"/>
      <c r="CT23" s="1291"/>
      <c r="CU23" s="1291"/>
      <c r="CV23" s="1291"/>
      <c r="CW23" s="1291"/>
      <c r="CX23" s="1291"/>
      <c r="CY23" s="1291"/>
      <c r="CZ23" s="1291"/>
      <c r="DA23" s="1291"/>
      <c r="DB23" s="1291"/>
      <c r="DC23" s="1291"/>
      <c r="DD23" s="1291"/>
      <c r="DE23" s="1291"/>
      <c r="DF23" s="1291"/>
      <c r="DG23" s="1291"/>
      <c r="DH23" s="1291"/>
      <c r="DI23" s="1291"/>
      <c r="DJ23" s="1291"/>
      <c r="DK23" s="1291"/>
      <c r="DL23" s="1291"/>
      <c r="DM23" s="1291"/>
      <c r="DN23" s="1291"/>
      <c r="DO23" s="1291"/>
      <c r="DP23" s="1291"/>
      <c r="DQ23" s="1291"/>
      <c r="DR23" s="1291"/>
      <c r="DS23" s="1291"/>
      <c r="DT23" s="1291"/>
      <c r="DU23" s="1291"/>
      <c r="DV23" s="1291"/>
      <c r="DW23" s="1291"/>
      <c r="DX23" s="1291"/>
      <c r="DY23" s="1291"/>
      <c r="DZ23" s="1291"/>
      <c r="EA23" s="1291"/>
      <c r="EB23" s="1291"/>
      <c r="EC23" s="1291"/>
      <c r="ED23" s="1291"/>
      <c r="EE23" s="1291"/>
      <c r="EF23" s="1291"/>
      <c r="EG23" s="1291"/>
      <c r="EH23" s="1291"/>
      <c r="EI23" s="1291"/>
      <c r="EJ23" s="1291"/>
      <c r="EK23" s="1291"/>
      <c r="EL23" s="1291"/>
      <c r="EM23" s="1291"/>
      <c r="EN23" s="1291"/>
      <c r="EO23" s="1291"/>
      <c r="EP23" s="1291"/>
      <c r="EQ23" s="1291"/>
      <c r="ER23" s="1291"/>
      <c r="ES23" s="1291"/>
      <c r="ET23" s="1291"/>
      <c r="EU23" s="1291"/>
      <c r="EV23" s="1291"/>
      <c r="EW23" s="1291"/>
      <c r="EX23" s="1291"/>
      <c r="EY23" s="1291"/>
      <c r="EZ23" s="1291"/>
      <c r="FA23" s="1291"/>
      <c r="FB23" s="1291"/>
      <c r="FC23" s="1291"/>
      <c r="FD23" s="1291"/>
      <c r="FE23" s="1291"/>
      <c r="FF23" s="1291"/>
      <c r="FG23" s="1291"/>
      <c r="FH23" s="1291"/>
      <c r="FI23" s="1291"/>
      <c r="FJ23" s="1291"/>
      <c r="FK23" s="1291"/>
      <c r="FL23" s="1291"/>
      <c r="FM23" s="1291"/>
      <c r="FN23" s="1291"/>
      <c r="FO23" s="1291"/>
      <c r="FP23" s="1291"/>
      <c r="FQ23" s="1291"/>
      <c r="FR23" s="1291"/>
      <c r="FS23" s="1291"/>
      <c r="FT23" s="1291"/>
      <c r="FU23" s="1291"/>
      <c r="FV23" s="1291"/>
      <c r="FW23" s="1291"/>
      <c r="FX23" s="1291"/>
      <c r="FY23" s="1291"/>
      <c r="FZ23" s="1291"/>
      <c r="GA23" s="1291"/>
      <c r="GB23" s="1291"/>
      <c r="GC23" s="1291"/>
      <c r="GD23" s="1291"/>
      <c r="GE23" s="1291"/>
      <c r="GF23" s="1291"/>
      <c r="GG23" s="1291"/>
      <c r="GH23" s="1291"/>
      <c r="GI23" s="1291"/>
      <c r="GJ23" s="1291"/>
      <c r="GK23" s="1291"/>
      <c r="GL23" s="1291"/>
      <c r="GM23" s="1291"/>
      <c r="GN23" s="1291"/>
      <c r="GO23" s="1291"/>
      <c r="GP23" s="1291"/>
      <c r="GQ23" s="1291"/>
    </row>
    <row r="24" spans="1:199" hidden="1" x14ac:dyDescent="0.3">
      <c r="A24" s="1394" t="s">
        <v>566</v>
      </c>
      <c r="B24" s="1476"/>
      <c r="C24" s="1477"/>
      <c r="D24" s="1477"/>
      <c r="E24" s="1341"/>
      <c r="F24" s="1337"/>
      <c r="G24" s="1338"/>
      <c r="H24" s="1337"/>
      <c r="I24" s="1337"/>
      <c r="J24" s="1342"/>
      <c r="K24" s="1339"/>
      <c r="L24" s="1337"/>
      <c r="M24" s="1338"/>
      <c r="N24" s="1337"/>
      <c r="O24" s="1337"/>
      <c r="P24" s="1338"/>
      <c r="Q24" s="1554" t="s">
        <v>566</v>
      </c>
      <c r="R24" s="1337"/>
      <c r="S24" s="1337"/>
      <c r="T24" s="1340"/>
      <c r="U24" s="1386" t="s">
        <v>566</v>
      </c>
      <c r="V24" s="1337"/>
      <c r="W24" s="1337"/>
      <c r="X24" s="1340"/>
      <c r="Y24" s="1337"/>
      <c r="Z24" s="1337"/>
      <c r="AA24" s="1342"/>
      <c r="AB24" s="1339"/>
      <c r="AC24" s="1337"/>
      <c r="AD24" s="1340"/>
      <c r="AE24" s="1340">
        <f t="shared" si="1"/>
        <v>0</v>
      </c>
      <c r="AF24" s="1291"/>
      <c r="AG24" s="1291"/>
      <c r="AH24" s="1291"/>
      <c r="AI24" s="1291"/>
      <c r="AJ24" s="1291"/>
      <c r="AK24" s="1291"/>
      <c r="AL24" s="1291"/>
      <c r="AM24" s="1291"/>
      <c r="AN24" s="1291"/>
      <c r="AO24" s="1291"/>
      <c r="AP24" s="1291"/>
      <c r="AQ24" s="1291"/>
      <c r="AR24" s="1291"/>
      <c r="AS24" s="1291"/>
      <c r="AT24" s="1291"/>
      <c r="AU24" s="1291"/>
      <c r="AV24" s="1291"/>
      <c r="AW24" s="1291"/>
      <c r="AX24" s="1291"/>
      <c r="AY24" s="1291"/>
      <c r="AZ24" s="1291"/>
      <c r="BA24" s="1291"/>
      <c r="BB24" s="1291"/>
      <c r="BC24" s="1291"/>
      <c r="BD24" s="1291"/>
      <c r="BE24" s="1291"/>
      <c r="BF24" s="1291"/>
      <c r="BG24" s="1291"/>
      <c r="BH24" s="1291"/>
      <c r="BI24" s="1291"/>
      <c r="BJ24" s="1291"/>
      <c r="BK24" s="1291"/>
      <c r="BL24" s="1291"/>
      <c r="BM24" s="1291"/>
      <c r="BN24" s="1291"/>
      <c r="BO24" s="1291"/>
      <c r="BP24" s="1291"/>
      <c r="BQ24" s="1291"/>
      <c r="BR24" s="1291"/>
      <c r="BS24" s="1291"/>
      <c r="BT24" s="1291"/>
      <c r="BU24" s="1291"/>
      <c r="BV24" s="1291"/>
      <c r="BW24" s="1291"/>
      <c r="BX24" s="1291"/>
      <c r="BY24" s="1291"/>
      <c r="BZ24" s="1291"/>
      <c r="CA24" s="1291"/>
      <c r="CB24" s="1291"/>
      <c r="CC24" s="1291"/>
      <c r="CD24" s="1291"/>
      <c r="CE24" s="1291"/>
      <c r="CF24" s="1291"/>
      <c r="CG24" s="1291"/>
      <c r="CH24" s="1291"/>
      <c r="CI24" s="1291"/>
      <c r="CJ24" s="1291"/>
      <c r="CK24" s="1291"/>
      <c r="CL24" s="1291"/>
      <c r="CM24" s="1291"/>
      <c r="CN24" s="1291"/>
      <c r="CO24" s="1291"/>
      <c r="CP24" s="1291"/>
      <c r="CQ24" s="1291"/>
      <c r="CR24" s="1291"/>
      <c r="CS24" s="1291"/>
      <c r="CT24" s="1291"/>
      <c r="CU24" s="1291"/>
      <c r="CV24" s="1291"/>
      <c r="CW24" s="1291"/>
      <c r="CX24" s="1291"/>
      <c r="CY24" s="1291"/>
      <c r="CZ24" s="1291"/>
      <c r="DA24" s="1291"/>
      <c r="DB24" s="1291"/>
      <c r="DC24" s="1291"/>
      <c r="DD24" s="1291"/>
      <c r="DE24" s="1291"/>
      <c r="DF24" s="1291"/>
      <c r="DG24" s="1291"/>
      <c r="DH24" s="1291"/>
      <c r="DI24" s="1291"/>
      <c r="DJ24" s="1291"/>
      <c r="DK24" s="1291"/>
      <c r="DL24" s="1291"/>
      <c r="DM24" s="1291"/>
      <c r="DN24" s="1291"/>
      <c r="DO24" s="1291"/>
      <c r="DP24" s="1291"/>
      <c r="DQ24" s="1291"/>
      <c r="DR24" s="1291"/>
      <c r="DS24" s="1291"/>
      <c r="DT24" s="1291"/>
      <c r="DU24" s="1291"/>
      <c r="DV24" s="1291"/>
      <c r="DW24" s="1291"/>
      <c r="DX24" s="1291"/>
      <c r="DY24" s="1291"/>
      <c r="DZ24" s="1291"/>
      <c r="EA24" s="1291"/>
      <c r="EB24" s="1291"/>
      <c r="EC24" s="1291"/>
      <c r="ED24" s="1291"/>
      <c r="EE24" s="1291"/>
      <c r="EF24" s="1291"/>
      <c r="EG24" s="1291"/>
      <c r="EH24" s="1291"/>
      <c r="EI24" s="1291"/>
      <c r="EJ24" s="1291"/>
      <c r="EK24" s="1291"/>
      <c r="EL24" s="1291"/>
      <c r="EM24" s="1291"/>
      <c r="EN24" s="1291"/>
      <c r="EO24" s="1291"/>
      <c r="EP24" s="1291"/>
      <c r="EQ24" s="1291"/>
      <c r="ER24" s="1291"/>
      <c r="ES24" s="1291"/>
      <c r="ET24" s="1291"/>
      <c r="EU24" s="1291"/>
      <c r="EV24" s="1291"/>
      <c r="EW24" s="1291"/>
      <c r="EX24" s="1291"/>
      <c r="EY24" s="1291"/>
      <c r="EZ24" s="1291"/>
      <c r="FA24" s="1291"/>
      <c r="FB24" s="1291"/>
      <c r="FC24" s="1291"/>
      <c r="FD24" s="1291"/>
      <c r="FE24" s="1291"/>
      <c r="FF24" s="1291"/>
      <c r="FG24" s="1291"/>
      <c r="FH24" s="1291"/>
      <c r="FI24" s="1291"/>
      <c r="FJ24" s="1291"/>
      <c r="FK24" s="1291"/>
      <c r="FL24" s="1291"/>
      <c r="FM24" s="1291"/>
      <c r="FN24" s="1291"/>
      <c r="FO24" s="1291"/>
      <c r="FP24" s="1291"/>
      <c r="FQ24" s="1291"/>
      <c r="FR24" s="1291"/>
      <c r="FS24" s="1291"/>
      <c r="FT24" s="1291"/>
      <c r="FU24" s="1291"/>
      <c r="FV24" s="1291"/>
      <c r="FW24" s="1291"/>
      <c r="FX24" s="1291"/>
      <c r="FY24" s="1291"/>
      <c r="FZ24" s="1291"/>
      <c r="GA24" s="1291"/>
      <c r="GB24" s="1291"/>
      <c r="GC24" s="1291"/>
      <c r="GD24" s="1291"/>
      <c r="GE24" s="1291"/>
      <c r="GF24" s="1291"/>
      <c r="GG24" s="1291"/>
      <c r="GH24" s="1291"/>
      <c r="GI24" s="1291"/>
      <c r="GJ24" s="1291"/>
      <c r="GK24" s="1291"/>
      <c r="GL24" s="1291"/>
      <c r="GM24" s="1291"/>
      <c r="GN24" s="1291"/>
      <c r="GO24" s="1291"/>
      <c r="GP24" s="1291"/>
      <c r="GQ24" s="1291"/>
    </row>
    <row r="25" spans="1:199" x14ac:dyDescent="0.3">
      <c r="A25" s="1386" t="s">
        <v>567</v>
      </c>
      <c r="B25" s="1485">
        <v>80000</v>
      </c>
      <c r="C25" s="1486">
        <v>200000</v>
      </c>
      <c r="D25" s="1486">
        <v>23000</v>
      </c>
      <c r="E25" s="1487">
        <v>19500</v>
      </c>
      <c r="F25" s="1358"/>
      <c r="G25" s="1359">
        <f>SUM(E25:F25)</f>
        <v>19500</v>
      </c>
      <c r="H25" s="1332">
        <v>60000</v>
      </c>
      <c r="I25" s="1332"/>
      <c r="J25" s="1363">
        <f>SUM(H25:I25)</f>
        <v>60000</v>
      </c>
      <c r="K25" s="1380">
        <v>97000</v>
      </c>
      <c r="L25" s="1358"/>
      <c r="M25" s="1359">
        <f>SUM(K25:L25)</f>
        <v>97000</v>
      </c>
      <c r="N25" s="1358">
        <v>70000</v>
      </c>
      <c r="O25" s="1358"/>
      <c r="P25" s="1359">
        <f>SUM(N25:O25)</f>
        <v>70000</v>
      </c>
      <c r="Q25" s="1554" t="s">
        <v>567</v>
      </c>
      <c r="R25" s="1358"/>
      <c r="S25" s="1358"/>
      <c r="T25" s="1361"/>
      <c r="U25" s="1386" t="s">
        <v>567</v>
      </c>
      <c r="V25" s="1358"/>
      <c r="W25" s="1358"/>
      <c r="X25" s="1361"/>
      <c r="Y25" s="1332">
        <v>19398</v>
      </c>
      <c r="Z25" s="1332"/>
      <c r="AA25" s="1363">
        <f>SUM(Y25:Z25)</f>
        <v>19398</v>
      </c>
      <c r="AB25" s="1380">
        <v>30000</v>
      </c>
      <c r="AC25" s="1358"/>
      <c r="AD25" s="1361">
        <f>SUM(AB25:AC25)</f>
        <v>30000</v>
      </c>
      <c r="AE25" s="1340">
        <f t="shared" si="1"/>
        <v>598898</v>
      </c>
      <c r="AF25" s="1291"/>
      <c r="AG25" s="1291"/>
      <c r="AH25" s="1291"/>
      <c r="AI25" s="1291"/>
      <c r="AJ25" s="1291"/>
      <c r="AK25" s="1291"/>
      <c r="AL25" s="1291"/>
      <c r="AM25" s="1291"/>
      <c r="AN25" s="1291"/>
      <c r="AO25" s="1291"/>
      <c r="AP25" s="1291"/>
      <c r="AQ25" s="1291"/>
      <c r="AR25" s="1291"/>
      <c r="AS25" s="1291"/>
      <c r="AT25" s="1291"/>
      <c r="AU25" s="1291"/>
      <c r="AV25" s="1291"/>
      <c r="AW25" s="1291"/>
      <c r="AX25" s="1291"/>
      <c r="AY25" s="1291"/>
      <c r="AZ25" s="1291"/>
      <c r="BA25" s="1291"/>
      <c r="BB25" s="1291"/>
      <c r="BC25" s="1291"/>
      <c r="BD25" s="1291"/>
      <c r="BE25" s="1291"/>
      <c r="BF25" s="1291"/>
      <c r="BG25" s="1291"/>
      <c r="BH25" s="1291"/>
      <c r="BI25" s="1291"/>
      <c r="BJ25" s="1291"/>
      <c r="BK25" s="1291"/>
      <c r="BL25" s="1291"/>
      <c r="BM25" s="1291"/>
      <c r="BN25" s="1291"/>
      <c r="BO25" s="1291"/>
      <c r="BP25" s="1291"/>
      <c r="BQ25" s="1291"/>
      <c r="BR25" s="1291"/>
      <c r="BS25" s="1291"/>
      <c r="BT25" s="1291"/>
      <c r="BU25" s="1291"/>
      <c r="BV25" s="1291"/>
      <c r="BW25" s="1291"/>
      <c r="BX25" s="1291"/>
      <c r="BY25" s="1291"/>
      <c r="BZ25" s="1291"/>
      <c r="CA25" s="1291"/>
      <c r="CB25" s="1291"/>
      <c r="CC25" s="1291"/>
      <c r="CD25" s="1291"/>
      <c r="CE25" s="1291"/>
      <c r="CF25" s="1291"/>
      <c r="CG25" s="1291"/>
      <c r="CH25" s="1291"/>
      <c r="CI25" s="1291"/>
      <c r="CJ25" s="1291"/>
      <c r="CK25" s="1291"/>
      <c r="CL25" s="1291"/>
      <c r="CM25" s="1291"/>
      <c r="CN25" s="1291"/>
      <c r="CO25" s="1291"/>
      <c r="CP25" s="1291"/>
      <c r="CQ25" s="1291"/>
      <c r="CR25" s="1291"/>
      <c r="CS25" s="1291"/>
      <c r="CT25" s="1291"/>
      <c r="CU25" s="1291"/>
      <c r="CV25" s="1291"/>
      <c r="CW25" s="1291"/>
      <c r="CX25" s="1291"/>
      <c r="CY25" s="1291"/>
      <c r="CZ25" s="1291"/>
      <c r="DA25" s="1291"/>
      <c r="DB25" s="1291"/>
      <c r="DC25" s="1291"/>
      <c r="DD25" s="1291"/>
      <c r="DE25" s="1291"/>
      <c r="DF25" s="1291"/>
      <c r="DG25" s="1291"/>
      <c r="DH25" s="1291"/>
      <c r="DI25" s="1291"/>
      <c r="DJ25" s="1291"/>
      <c r="DK25" s="1291"/>
      <c r="DL25" s="1291"/>
      <c r="DM25" s="1291"/>
      <c r="DN25" s="1291"/>
      <c r="DO25" s="1291"/>
      <c r="DP25" s="1291"/>
      <c r="DQ25" s="1291"/>
      <c r="DR25" s="1291"/>
      <c r="DS25" s="1291"/>
      <c r="DT25" s="1291"/>
      <c r="DU25" s="1291"/>
      <c r="DV25" s="1291"/>
      <c r="DW25" s="1291"/>
      <c r="DX25" s="1291"/>
      <c r="DY25" s="1291"/>
      <c r="DZ25" s="1291"/>
      <c r="EA25" s="1291"/>
      <c r="EB25" s="1291"/>
      <c r="EC25" s="1291"/>
      <c r="ED25" s="1291"/>
      <c r="EE25" s="1291"/>
      <c r="EF25" s="1291"/>
      <c r="EG25" s="1291"/>
      <c r="EH25" s="1291"/>
      <c r="EI25" s="1291"/>
      <c r="EJ25" s="1291"/>
      <c r="EK25" s="1291"/>
      <c r="EL25" s="1291"/>
      <c r="EM25" s="1291"/>
      <c r="EN25" s="1291"/>
      <c r="EO25" s="1291"/>
      <c r="EP25" s="1291"/>
      <c r="EQ25" s="1291"/>
      <c r="ER25" s="1291"/>
      <c r="ES25" s="1291"/>
      <c r="ET25" s="1291"/>
      <c r="EU25" s="1291"/>
      <c r="EV25" s="1291"/>
      <c r="EW25" s="1291"/>
      <c r="EX25" s="1291"/>
      <c r="EY25" s="1291"/>
      <c r="EZ25" s="1291"/>
      <c r="FA25" s="1291"/>
      <c r="FB25" s="1291"/>
      <c r="FC25" s="1291"/>
      <c r="FD25" s="1291"/>
      <c r="FE25" s="1291"/>
      <c r="FF25" s="1291"/>
      <c r="FG25" s="1291"/>
      <c r="FH25" s="1291"/>
      <c r="FI25" s="1291"/>
      <c r="FJ25" s="1291"/>
      <c r="FK25" s="1291"/>
      <c r="FL25" s="1291"/>
      <c r="FM25" s="1291"/>
      <c r="FN25" s="1291"/>
      <c r="FO25" s="1291"/>
      <c r="FP25" s="1291"/>
      <c r="FQ25" s="1291"/>
      <c r="FR25" s="1291"/>
      <c r="FS25" s="1291"/>
      <c r="FT25" s="1291"/>
      <c r="FU25" s="1291"/>
      <c r="FV25" s="1291"/>
      <c r="FW25" s="1291"/>
      <c r="FX25" s="1291"/>
      <c r="FY25" s="1291"/>
      <c r="FZ25" s="1291"/>
      <c r="GA25" s="1291"/>
      <c r="GB25" s="1291"/>
      <c r="GC25" s="1291"/>
      <c r="GD25" s="1291"/>
      <c r="GE25" s="1291"/>
      <c r="GF25" s="1291"/>
      <c r="GG25" s="1291"/>
      <c r="GH25" s="1291"/>
      <c r="GI25" s="1291"/>
      <c r="GJ25" s="1291"/>
      <c r="GK25" s="1291"/>
      <c r="GL25" s="1291"/>
      <c r="GM25" s="1291"/>
      <c r="GN25" s="1291"/>
      <c r="GO25" s="1291"/>
      <c r="GP25" s="1291"/>
      <c r="GQ25" s="1291"/>
    </row>
    <row r="26" spans="1:199" x14ac:dyDescent="0.3">
      <c r="A26" s="1396" t="s">
        <v>568</v>
      </c>
      <c r="B26" s="1488">
        <f>SUM(B27:B27)</f>
        <v>0</v>
      </c>
      <c r="C26" s="1489">
        <f>SUM(C27:C27)</f>
        <v>0</v>
      </c>
      <c r="D26" s="1489">
        <f>SUM(D27:D27)</f>
        <v>0</v>
      </c>
      <c r="E26" s="1371">
        <f>SUM(E27:E27)</f>
        <v>1500</v>
      </c>
      <c r="F26" s="1368">
        <f>SUM(F27:F27)</f>
        <v>1500</v>
      </c>
      <c r="G26" s="1369">
        <f>SUM(E26:F26)</f>
        <v>3000</v>
      </c>
      <c r="H26" s="1368">
        <f>SUM(H27:H27)</f>
        <v>0</v>
      </c>
      <c r="I26" s="1368">
        <f>SUM(I27:I27)</f>
        <v>0</v>
      </c>
      <c r="J26" s="1372"/>
      <c r="K26" s="1370">
        <f>SUM(K27:K27)</f>
        <v>500</v>
      </c>
      <c r="L26" s="1368">
        <f>SUM(L27:L27)</f>
        <v>500</v>
      </c>
      <c r="M26" s="1369">
        <f>SUM(K26:L26)</f>
        <v>1000</v>
      </c>
      <c r="N26" s="1368">
        <f>SUM(N27:N27)</f>
        <v>0</v>
      </c>
      <c r="O26" s="1368">
        <f>SUM(O27:O27)</f>
        <v>0</v>
      </c>
      <c r="P26" s="1369"/>
      <c r="Q26" s="1556" t="s">
        <v>568</v>
      </c>
      <c r="R26" s="1368">
        <f>SUM(R27:R27)</f>
        <v>1500</v>
      </c>
      <c r="S26" s="1368">
        <f>SUM(S27:S27)</f>
        <v>1500</v>
      </c>
      <c r="T26" s="1369">
        <f>SUM(R26:S26)</f>
        <v>3000</v>
      </c>
      <c r="U26" s="1388" t="s">
        <v>568</v>
      </c>
      <c r="V26" s="1368">
        <f>SUM(V27:V27)</f>
        <v>500</v>
      </c>
      <c r="W26" s="1368">
        <f>SUM(W27:W27)</f>
        <v>500</v>
      </c>
      <c r="X26" s="1369">
        <f>SUM(V26:W26)</f>
        <v>1000</v>
      </c>
      <c r="Y26" s="1368">
        <f>SUM(Y27:Y27)</f>
        <v>0</v>
      </c>
      <c r="Z26" s="1368">
        <f>SUM(Z27:Z27)</f>
        <v>0</v>
      </c>
      <c r="AA26" s="1372"/>
      <c r="AB26" s="1370">
        <f>SUM(AB27:AB27)</f>
        <v>0</v>
      </c>
      <c r="AC26" s="1368">
        <f>SUM(AC27:AC27)</f>
        <v>0</v>
      </c>
      <c r="AD26" s="1369"/>
      <c r="AE26" s="1369">
        <f t="shared" si="1"/>
        <v>8000</v>
      </c>
      <c r="AF26" s="1291"/>
      <c r="AG26" s="1291"/>
      <c r="AH26" s="1291"/>
      <c r="AI26" s="1291"/>
      <c r="AJ26" s="1291"/>
      <c r="AK26" s="1291"/>
      <c r="AL26" s="1291"/>
      <c r="AM26" s="1291"/>
      <c r="AN26" s="1291"/>
      <c r="AO26" s="1291"/>
      <c r="AP26" s="1291"/>
      <c r="AQ26" s="1291"/>
      <c r="AR26" s="1291"/>
      <c r="AS26" s="1291"/>
      <c r="AT26" s="1291"/>
      <c r="AU26" s="1291"/>
      <c r="AV26" s="1291"/>
      <c r="AW26" s="1291"/>
      <c r="AX26" s="1291"/>
      <c r="AY26" s="1291"/>
      <c r="AZ26" s="1291"/>
      <c r="BA26" s="1291"/>
      <c r="BB26" s="1291"/>
      <c r="BC26" s="1291"/>
      <c r="BD26" s="1291"/>
      <c r="BE26" s="1291"/>
      <c r="BF26" s="1291"/>
      <c r="BG26" s="1291"/>
      <c r="BH26" s="1291"/>
      <c r="BI26" s="1291"/>
      <c r="BJ26" s="1291"/>
      <c r="BK26" s="1291"/>
      <c r="BL26" s="1291"/>
      <c r="BM26" s="1291"/>
      <c r="BN26" s="1291"/>
      <c r="BO26" s="1291"/>
      <c r="BP26" s="1291"/>
      <c r="BQ26" s="1291"/>
      <c r="BR26" s="1291"/>
      <c r="BS26" s="1291"/>
      <c r="BT26" s="1291"/>
      <c r="BU26" s="1291"/>
      <c r="BV26" s="1291"/>
      <c r="BW26" s="1291"/>
      <c r="BX26" s="1291"/>
      <c r="BY26" s="1291"/>
      <c r="BZ26" s="1291"/>
      <c r="CA26" s="1291"/>
      <c r="CB26" s="1291"/>
      <c r="CC26" s="1291"/>
      <c r="CD26" s="1291"/>
      <c r="CE26" s="1291"/>
      <c r="CF26" s="1291"/>
      <c r="CG26" s="1291"/>
      <c r="CH26" s="1291"/>
      <c r="CI26" s="1291"/>
      <c r="CJ26" s="1291"/>
      <c r="CK26" s="1291"/>
      <c r="CL26" s="1291"/>
      <c r="CM26" s="1291"/>
      <c r="CN26" s="1291"/>
      <c r="CO26" s="1291"/>
      <c r="CP26" s="1291"/>
      <c r="CQ26" s="1291"/>
      <c r="CR26" s="1291"/>
      <c r="CS26" s="1291"/>
      <c r="CT26" s="1291"/>
      <c r="CU26" s="1291"/>
      <c r="CV26" s="1291"/>
      <c r="CW26" s="1291"/>
      <c r="CX26" s="1291"/>
      <c r="CY26" s="1291"/>
      <c r="CZ26" s="1291"/>
      <c r="DA26" s="1291"/>
      <c r="DB26" s="1291"/>
      <c r="DC26" s="1291"/>
      <c r="DD26" s="1291"/>
      <c r="DE26" s="1291"/>
      <c r="DF26" s="1291"/>
      <c r="DG26" s="1291"/>
      <c r="DH26" s="1291"/>
      <c r="DI26" s="1291"/>
      <c r="DJ26" s="1291"/>
      <c r="DK26" s="1291"/>
      <c r="DL26" s="1291"/>
      <c r="DM26" s="1291"/>
      <c r="DN26" s="1291"/>
      <c r="DO26" s="1291"/>
      <c r="DP26" s="1291"/>
      <c r="DQ26" s="1291"/>
      <c r="DR26" s="1291"/>
      <c r="DS26" s="1291"/>
      <c r="DT26" s="1291"/>
      <c r="DU26" s="1291"/>
      <c r="DV26" s="1291"/>
      <c r="DW26" s="1291"/>
      <c r="DX26" s="1291"/>
      <c r="DY26" s="1291"/>
      <c r="DZ26" s="1291"/>
      <c r="EA26" s="1291"/>
      <c r="EB26" s="1291"/>
      <c r="EC26" s="1291"/>
      <c r="ED26" s="1291"/>
      <c r="EE26" s="1291"/>
      <c r="EF26" s="1291"/>
      <c r="EG26" s="1291"/>
      <c r="EH26" s="1291"/>
      <c r="EI26" s="1291"/>
      <c r="EJ26" s="1291"/>
      <c r="EK26" s="1291"/>
      <c r="EL26" s="1291"/>
      <c r="EM26" s="1291"/>
      <c r="EN26" s="1291"/>
      <c r="EO26" s="1291"/>
      <c r="EP26" s="1291"/>
      <c r="EQ26" s="1291"/>
      <c r="ER26" s="1291"/>
      <c r="ES26" s="1291"/>
      <c r="ET26" s="1291"/>
      <c r="EU26" s="1291"/>
      <c r="EV26" s="1291"/>
      <c r="EW26" s="1291"/>
      <c r="EX26" s="1291"/>
      <c r="EY26" s="1291"/>
      <c r="EZ26" s="1291"/>
      <c r="FA26" s="1291"/>
      <c r="FB26" s="1291"/>
      <c r="FC26" s="1291"/>
      <c r="FD26" s="1291"/>
      <c r="FE26" s="1291"/>
      <c r="FF26" s="1291"/>
      <c r="FG26" s="1291"/>
      <c r="FH26" s="1291"/>
      <c r="FI26" s="1291"/>
      <c r="FJ26" s="1291"/>
      <c r="FK26" s="1291"/>
      <c r="FL26" s="1291"/>
      <c r="FM26" s="1291"/>
      <c r="FN26" s="1291"/>
      <c r="FO26" s="1291"/>
      <c r="FP26" s="1291"/>
      <c r="FQ26" s="1291"/>
      <c r="FR26" s="1291"/>
      <c r="FS26" s="1291"/>
      <c r="FT26" s="1291"/>
      <c r="FU26" s="1291"/>
      <c r="FV26" s="1291"/>
      <c r="FW26" s="1291"/>
      <c r="FX26" s="1291"/>
      <c r="FY26" s="1291"/>
      <c r="FZ26" s="1291"/>
      <c r="GA26" s="1291"/>
      <c r="GB26" s="1291"/>
      <c r="GC26" s="1291"/>
      <c r="GD26" s="1291"/>
      <c r="GE26" s="1291"/>
      <c r="GF26" s="1291"/>
      <c r="GG26" s="1291"/>
      <c r="GH26" s="1291"/>
      <c r="GI26" s="1291"/>
      <c r="GJ26" s="1291"/>
      <c r="GK26" s="1291"/>
      <c r="GL26" s="1291"/>
      <c r="GM26" s="1291"/>
      <c r="GN26" s="1291"/>
      <c r="GO26" s="1291"/>
      <c r="GP26" s="1291"/>
      <c r="GQ26" s="1291"/>
    </row>
    <row r="27" spans="1:199" x14ac:dyDescent="0.3">
      <c r="A27" s="1394" t="s">
        <v>569</v>
      </c>
      <c r="B27" s="1490">
        <v>0</v>
      </c>
      <c r="C27" s="1491"/>
      <c r="D27" s="1491"/>
      <c r="E27" s="1492">
        <v>1500</v>
      </c>
      <c r="F27" s="1493">
        <f>1500</f>
        <v>1500</v>
      </c>
      <c r="G27" s="1494">
        <f>SUM(E27:F27)</f>
        <v>3000</v>
      </c>
      <c r="H27" s="1493"/>
      <c r="I27" s="1493"/>
      <c r="J27" s="1495"/>
      <c r="K27" s="1496">
        <v>500</v>
      </c>
      <c r="L27" s="1493">
        <v>500</v>
      </c>
      <c r="M27" s="1494">
        <f>SUM(K27:L27)</f>
        <v>1000</v>
      </c>
      <c r="N27" s="1493"/>
      <c r="O27" s="1493"/>
      <c r="P27" s="1494"/>
      <c r="Q27" s="1554" t="s">
        <v>569</v>
      </c>
      <c r="R27" s="1493">
        <v>1500</v>
      </c>
      <c r="S27" s="1493">
        <f>1500</f>
        <v>1500</v>
      </c>
      <c r="T27" s="1497">
        <f>SUM(R27:S27)</f>
        <v>3000</v>
      </c>
      <c r="U27" s="1386" t="s">
        <v>569</v>
      </c>
      <c r="V27" s="1493">
        <v>500</v>
      </c>
      <c r="W27" s="1493">
        <f>500</f>
        <v>500</v>
      </c>
      <c r="X27" s="1497">
        <f>SUM(V27:W27)</f>
        <v>1000</v>
      </c>
      <c r="Y27" s="1493"/>
      <c r="Z27" s="1493"/>
      <c r="AA27" s="1495"/>
      <c r="AB27" s="1496"/>
      <c r="AC27" s="1493"/>
      <c r="AD27" s="1497"/>
      <c r="AE27" s="1340">
        <f t="shared" si="1"/>
        <v>8000</v>
      </c>
      <c r="AF27" s="1291"/>
      <c r="AG27" s="1291"/>
      <c r="AH27" s="1291"/>
      <c r="AI27" s="1291"/>
      <c r="AJ27" s="1291"/>
      <c r="AK27" s="1291"/>
      <c r="AL27" s="1291"/>
      <c r="AM27" s="1291"/>
      <c r="AN27" s="1291"/>
      <c r="AO27" s="1291"/>
      <c r="AP27" s="1291"/>
      <c r="AQ27" s="1291"/>
      <c r="AR27" s="1291"/>
      <c r="AS27" s="1291"/>
      <c r="AT27" s="1291"/>
      <c r="AU27" s="1291"/>
      <c r="AV27" s="1291"/>
      <c r="AW27" s="1291"/>
      <c r="AX27" s="1291"/>
      <c r="AY27" s="1291"/>
      <c r="AZ27" s="1291"/>
      <c r="BA27" s="1291"/>
      <c r="BB27" s="1291"/>
      <c r="BC27" s="1291"/>
      <c r="BD27" s="1291"/>
      <c r="BE27" s="1291"/>
      <c r="BF27" s="1291"/>
      <c r="BG27" s="1291"/>
      <c r="BH27" s="1291"/>
      <c r="BI27" s="1291"/>
      <c r="BJ27" s="1291"/>
      <c r="BK27" s="1291"/>
      <c r="BL27" s="1291"/>
      <c r="BM27" s="1291"/>
      <c r="BN27" s="1291"/>
      <c r="BO27" s="1291"/>
      <c r="BP27" s="1291"/>
      <c r="BQ27" s="1291"/>
      <c r="BR27" s="1291"/>
      <c r="BS27" s="1291"/>
      <c r="BT27" s="1291"/>
      <c r="BU27" s="1291"/>
      <c r="BV27" s="1291"/>
      <c r="BW27" s="1291"/>
      <c r="BX27" s="1291"/>
      <c r="BY27" s="1291"/>
      <c r="BZ27" s="1291"/>
      <c r="CA27" s="1291"/>
      <c r="CB27" s="1291"/>
      <c r="CC27" s="1291"/>
      <c r="CD27" s="1291"/>
      <c r="CE27" s="1291"/>
      <c r="CF27" s="1291"/>
      <c r="CG27" s="1291"/>
      <c r="CH27" s="1291"/>
      <c r="CI27" s="1291"/>
      <c r="CJ27" s="1291"/>
      <c r="CK27" s="1291"/>
      <c r="CL27" s="1291"/>
      <c r="CM27" s="1291"/>
      <c r="CN27" s="1291"/>
      <c r="CO27" s="1291"/>
      <c r="CP27" s="1291"/>
      <c r="CQ27" s="1291"/>
      <c r="CR27" s="1291"/>
      <c r="CS27" s="1291"/>
      <c r="CT27" s="1291"/>
      <c r="CU27" s="1291"/>
      <c r="CV27" s="1291"/>
      <c r="CW27" s="1291"/>
      <c r="CX27" s="1291"/>
      <c r="CY27" s="1291"/>
      <c r="CZ27" s="1291"/>
      <c r="DA27" s="1291"/>
      <c r="DB27" s="1291"/>
      <c r="DC27" s="1291"/>
      <c r="DD27" s="1291"/>
      <c r="DE27" s="1291"/>
      <c r="DF27" s="1291"/>
      <c r="DG27" s="1291"/>
      <c r="DH27" s="1291"/>
      <c r="DI27" s="1291"/>
      <c r="DJ27" s="1291"/>
      <c r="DK27" s="1291"/>
      <c r="DL27" s="1291"/>
      <c r="DM27" s="1291"/>
      <c r="DN27" s="1291"/>
      <c r="DO27" s="1291"/>
      <c r="DP27" s="1291"/>
      <c r="DQ27" s="1291"/>
      <c r="DR27" s="1291"/>
      <c r="DS27" s="1291"/>
      <c r="DT27" s="1291"/>
      <c r="DU27" s="1291"/>
      <c r="DV27" s="1291"/>
      <c r="DW27" s="1291"/>
      <c r="DX27" s="1291"/>
      <c r="DY27" s="1291"/>
      <c r="DZ27" s="1291"/>
      <c r="EA27" s="1291"/>
      <c r="EB27" s="1291"/>
      <c r="EC27" s="1291"/>
      <c r="ED27" s="1291"/>
      <c r="EE27" s="1291"/>
      <c r="EF27" s="1291"/>
      <c r="EG27" s="1291"/>
      <c r="EH27" s="1291"/>
      <c r="EI27" s="1291"/>
      <c r="EJ27" s="1291"/>
      <c r="EK27" s="1291"/>
      <c r="EL27" s="1291"/>
      <c r="EM27" s="1291"/>
      <c r="EN27" s="1291"/>
      <c r="EO27" s="1291"/>
      <c r="EP27" s="1291"/>
      <c r="EQ27" s="1291"/>
      <c r="ER27" s="1291"/>
      <c r="ES27" s="1291"/>
      <c r="ET27" s="1291"/>
      <c r="EU27" s="1291"/>
      <c r="EV27" s="1291"/>
      <c r="EW27" s="1291"/>
      <c r="EX27" s="1291"/>
      <c r="EY27" s="1291"/>
      <c r="EZ27" s="1291"/>
      <c r="FA27" s="1291"/>
      <c r="FB27" s="1291"/>
      <c r="FC27" s="1291"/>
      <c r="FD27" s="1291"/>
      <c r="FE27" s="1291"/>
      <c r="FF27" s="1291"/>
      <c r="FG27" s="1291"/>
      <c r="FH27" s="1291"/>
      <c r="FI27" s="1291"/>
      <c r="FJ27" s="1291"/>
      <c r="FK27" s="1291"/>
      <c r="FL27" s="1291"/>
      <c r="FM27" s="1291"/>
      <c r="FN27" s="1291"/>
      <c r="FO27" s="1291"/>
      <c r="FP27" s="1291"/>
      <c r="FQ27" s="1291"/>
      <c r="FR27" s="1291"/>
      <c r="FS27" s="1291"/>
      <c r="FT27" s="1291"/>
      <c r="FU27" s="1291"/>
      <c r="FV27" s="1291"/>
      <c r="FW27" s="1291"/>
      <c r="FX27" s="1291"/>
      <c r="FY27" s="1291"/>
      <c r="FZ27" s="1291"/>
      <c r="GA27" s="1291"/>
      <c r="GB27" s="1291"/>
      <c r="GC27" s="1291"/>
      <c r="GD27" s="1291"/>
      <c r="GE27" s="1291"/>
      <c r="GF27" s="1291"/>
      <c r="GG27" s="1291"/>
      <c r="GH27" s="1291"/>
      <c r="GI27" s="1291"/>
      <c r="GJ27" s="1291"/>
      <c r="GK27" s="1291"/>
      <c r="GL27" s="1291"/>
      <c r="GM27" s="1291"/>
      <c r="GN27" s="1291"/>
      <c r="GO27" s="1291"/>
      <c r="GP27" s="1291"/>
      <c r="GQ27" s="1291"/>
    </row>
    <row r="28" spans="1:199" s="1506" customFormat="1" x14ac:dyDescent="0.5">
      <c r="A28" s="1498" t="s">
        <v>575</v>
      </c>
      <c r="B28" s="1499"/>
      <c r="C28" s="1529"/>
      <c r="D28" s="1499"/>
      <c r="E28" s="1500" t="s">
        <v>107</v>
      </c>
      <c r="F28" s="1498"/>
      <c r="G28" s="1501" t="s">
        <v>28</v>
      </c>
      <c r="H28" s="1498"/>
      <c r="I28" s="1498"/>
      <c r="J28" s="1502"/>
      <c r="K28" s="1503" t="s">
        <v>576</v>
      </c>
      <c r="L28" s="1498"/>
      <c r="M28" s="1501" t="s">
        <v>28</v>
      </c>
      <c r="N28" s="1504" t="s">
        <v>577</v>
      </c>
      <c r="O28" s="1498" t="s">
        <v>576</v>
      </c>
      <c r="P28" s="1501" t="s">
        <v>28</v>
      </c>
      <c r="Q28" s="1530" t="s">
        <v>575</v>
      </c>
      <c r="R28" s="1549"/>
      <c r="S28" s="1551" t="s">
        <v>576</v>
      </c>
      <c r="T28" s="1550" t="s">
        <v>28</v>
      </c>
      <c r="U28" s="1499" t="s">
        <v>575</v>
      </c>
      <c r="V28" s="1498" t="s">
        <v>578</v>
      </c>
      <c r="W28" s="1498"/>
      <c r="X28" s="1501" t="s">
        <v>28</v>
      </c>
      <c r="Y28" s="1500"/>
      <c r="Z28" s="1498" t="s">
        <v>579</v>
      </c>
      <c r="AA28" s="1502" t="s">
        <v>28</v>
      </c>
      <c r="AB28" s="1503"/>
      <c r="AC28" s="1498"/>
      <c r="AD28" s="1501" t="s">
        <v>28</v>
      </c>
      <c r="AE28" s="1552">
        <f>SUM(AE29:AE33)</f>
        <v>286706</v>
      </c>
      <c r="AF28" s="1505"/>
      <c r="AG28" s="1505"/>
      <c r="AH28" s="1505"/>
      <c r="AI28" s="1505"/>
      <c r="AJ28" s="1505"/>
      <c r="AK28" s="1505"/>
      <c r="AL28" s="1505"/>
      <c r="AM28" s="1505"/>
      <c r="AN28" s="1505"/>
      <c r="AO28" s="1505"/>
      <c r="AP28" s="1505"/>
      <c r="AQ28" s="1505"/>
      <c r="AR28" s="1505"/>
      <c r="AS28" s="1505"/>
      <c r="AT28" s="1505"/>
      <c r="AU28" s="1505"/>
      <c r="AV28" s="1505"/>
      <c r="AW28" s="1505"/>
      <c r="AX28" s="1505"/>
      <c r="AY28" s="1505"/>
      <c r="AZ28" s="1505"/>
      <c r="BA28" s="1505"/>
      <c r="BB28" s="1505"/>
      <c r="BC28" s="1505"/>
      <c r="BD28" s="1505"/>
      <c r="BE28" s="1505"/>
      <c r="BF28" s="1505"/>
      <c r="BG28" s="1505"/>
      <c r="BH28" s="1505"/>
      <c r="BI28" s="1505"/>
      <c r="BJ28" s="1505"/>
      <c r="BK28" s="1505"/>
      <c r="BL28" s="1505"/>
      <c r="BM28" s="1505"/>
      <c r="BN28" s="1505"/>
      <c r="BO28" s="1505"/>
      <c r="BP28" s="1505"/>
      <c r="BQ28" s="1505"/>
      <c r="BR28" s="1505"/>
      <c r="BS28" s="1505"/>
      <c r="BT28" s="1505"/>
      <c r="BU28" s="1505"/>
      <c r="BV28" s="1505"/>
      <c r="BW28" s="1505"/>
      <c r="BX28" s="1505"/>
      <c r="BY28" s="1505"/>
      <c r="BZ28" s="1505"/>
      <c r="CA28" s="1505"/>
      <c r="CB28" s="1505"/>
      <c r="CC28" s="1505"/>
      <c r="CD28" s="1505"/>
      <c r="CE28" s="1505"/>
      <c r="CF28" s="1505"/>
      <c r="CG28" s="1505"/>
      <c r="CH28" s="1505"/>
      <c r="CI28" s="1505"/>
      <c r="CJ28" s="1505"/>
      <c r="CK28" s="1505"/>
      <c r="CL28" s="1505"/>
      <c r="CM28" s="1505"/>
      <c r="CN28" s="1505"/>
      <c r="CO28" s="1505"/>
      <c r="CP28" s="1505"/>
      <c r="CQ28" s="1505"/>
      <c r="CR28" s="1505"/>
      <c r="CS28" s="1505"/>
      <c r="CT28" s="1505"/>
      <c r="CU28" s="1505"/>
      <c r="CV28" s="1505"/>
      <c r="CW28" s="1505"/>
      <c r="CX28" s="1505"/>
      <c r="CY28" s="1505"/>
      <c r="CZ28" s="1505"/>
      <c r="DA28" s="1505"/>
      <c r="DB28" s="1505"/>
      <c r="DC28" s="1505"/>
      <c r="DD28" s="1505"/>
      <c r="DE28" s="1505"/>
      <c r="DF28" s="1505"/>
      <c r="DG28" s="1505"/>
      <c r="DH28" s="1505"/>
      <c r="DI28" s="1505"/>
      <c r="DJ28" s="1505"/>
      <c r="DK28" s="1505"/>
      <c r="DL28" s="1505"/>
      <c r="DM28" s="1505"/>
      <c r="DN28" s="1505"/>
      <c r="DO28" s="1505"/>
      <c r="DP28" s="1505"/>
      <c r="DQ28" s="1505"/>
      <c r="DR28" s="1505"/>
      <c r="DS28" s="1505"/>
      <c r="DT28" s="1505"/>
      <c r="DU28" s="1505"/>
      <c r="DV28" s="1505"/>
      <c r="DW28" s="1505"/>
      <c r="DX28" s="1505"/>
      <c r="DY28" s="1505"/>
      <c r="DZ28" s="1505"/>
      <c r="EA28" s="1505"/>
      <c r="EB28" s="1505"/>
      <c r="EC28" s="1505"/>
      <c r="ED28" s="1505"/>
      <c r="EE28" s="1505"/>
      <c r="EF28" s="1505"/>
      <c r="EG28" s="1505"/>
      <c r="EH28" s="1505"/>
      <c r="EI28" s="1505"/>
      <c r="EJ28" s="1505"/>
      <c r="EK28" s="1505"/>
      <c r="EL28" s="1505"/>
      <c r="EM28" s="1505"/>
      <c r="EN28" s="1505"/>
      <c r="EO28" s="1505"/>
      <c r="EP28" s="1505"/>
      <c r="EQ28" s="1505"/>
      <c r="ER28" s="1505"/>
      <c r="ES28" s="1505"/>
      <c r="ET28" s="1505"/>
      <c r="EU28" s="1505"/>
      <c r="EV28" s="1505"/>
      <c r="EW28" s="1505"/>
      <c r="EX28" s="1505"/>
      <c r="EY28" s="1505"/>
      <c r="EZ28" s="1505"/>
      <c r="FA28" s="1505"/>
      <c r="FB28" s="1505"/>
      <c r="FC28" s="1505"/>
      <c r="FD28" s="1505"/>
      <c r="FE28" s="1505"/>
      <c r="FF28" s="1505"/>
      <c r="FG28" s="1505"/>
      <c r="FH28" s="1505"/>
      <c r="FI28" s="1505"/>
      <c r="FJ28" s="1505"/>
      <c r="FK28" s="1505"/>
      <c r="FL28" s="1505"/>
      <c r="FM28" s="1505"/>
      <c r="FN28" s="1505"/>
      <c r="FO28" s="1505"/>
      <c r="FP28" s="1505"/>
      <c r="FQ28" s="1505"/>
      <c r="FR28" s="1505"/>
      <c r="FS28" s="1505"/>
      <c r="FT28" s="1505"/>
      <c r="FU28" s="1505"/>
      <c r="FV28" s="1505"/>
      <c r="FW28" s="1505"/>
      <c r="FX28" s="1505"/>
      <c r="FY28" s="1505"/>
      <c r="FZ28" s="1505"/>
      <c r="GA28" s="1505"/>
      <c r="GB28" s="1505"/>
      <c r="GC28" s="1505"/>
      <c r="GD28" s="1505"/>
      <c r="GE28" s="1505"/>
      <c r="GF28" s="1505"/>
      <c r="GG28" s="1505"/>
      <c r="GH28" s="1505"/>
      <c r="GI28" s="1505"/>
      <c r="GJ28" s="1505"/>
      <c r="GK28" s="1505"/>
      <c r="GL28" s="1505"/>
      <c r="GM28" s="1505"/>
      <c r="GN28" s="1505"/>
      <c r="GO28" s="1505"/>
      <c r="GP28" s="1505"/>
      <c r="GQ28" s="1505"/>
    </row>
    <row r="29" spans="1:199" x14ac:dyDescent="0.3">
      <c r="A29" s="1507" t="s">
        <v>554</v>
      </c>
      <c r="B29" s="1508"/>
      <c r="C29" s="1509"/>
      <c r="D29" s="1508"/>
      <c r="E29" s="1510"/>
      <c r="F29" s="1511"/>
      <c r="G29" s="1512"/>
      <c r="H29" s="1511"/>
      <c r="I29" s="1511"/>
      <c r="J29" s="1512"/>
      <c r="K29" s="1513">
        <f>43300+36820</f>
        <v>80120</v>
      </c>
      <c r="L29" s="1511"/>
      <c r="M29" s="1514">
        <f>SUM(K29:L29)</f>
        <v>80120</v>
      </c>
      <c r="N29" s="1511"/>
      <c r="O29" s="1511">
        <v>41420</v>
      </c>
      <c r="P29" s="1514">
        <f>SUM(N29:O29)</f>
        <v>41420</v>
      </c>
      <c r="Q29" s="1557"/>
      <c r="R29" s="1511"/>
      <c r="S29" s="1511">
        <f>28000+40000+20000</f>
        <v>88000</v>
      </c>
      <c r="T29" s="1514">
        <f>SUM(R29:S29)</f>
        <v>88000</v>
      </c>
      <c r="U29" s="1507"/>
      <c r="V29" s="1511">
        <v>49241</v>
      </c>
      <c r="W29" s="1511"/>
      <c r="X29" s="1515">
        <f>SUM(V29:W29)</f>
        <v>49241</v>
      </c>
      <c r="Y29" s="1513"/>
      <c r="Z29" s="1511"/>
      <c r="AA29" s="1516"/>
      <c r="AB29" s="1513"/>
      <c r="AC29" s="1511"/>
      <c r="AD29" s="1514"/>
      <c r="AE29" s="1340">
        <f>+B29+C29+D29+G29+J29+M29+P29+T29+X29+AA29+AD29</f>
        <v>258781</v>
      </c>
      <c r="AF29" s="1291"/>
      <c r="AG29" s="1291"/>
      <c r="AH29" s="1291"/>
      <c r="AI29" s="1291"/>
      <c r="AJ29" s="1291"/>
      <c r="AK29" s="1291"/>
      <c r="AL29" s="1291"/>
      <c r="AM29" s="1291"/>
      <c r="AN29" s="1291"/>
      <c r="AO29" s="1291"/>
      <c r="AP29" s="1291"/>
      <c r="AQ29" s="1291"/>
      <c r="AR29" s="1291"/>
      <c r="AS29" s="1291"/>
      <c r="AT29" s="1291"/>
      <c r="AU29" s="1291"/>
      <c r="AV29" s="1291"/>
      <c r="AW29" s="1291"/>
      <c r="AX29" s="1291"/>
      <c r="AY29" s="1291"/>
      <c r="AZ29" s="1291"/>
      <c r="BA29" s="1291"/>
      <c r="BB29" s="1291"/>
      <c r="BC29" s="1291"/>
      <c r="BD29" s="1291"/>
      <c r="BE29" s="1291"/>
      <c r="BF29" s="1291"/>
      <c r="BG29" s="1291"/>
      <c r="BH29" s="1291"/>
      <c r="BI29" s="1291"/>
      <c r="BJ29" s="1291"/>
      <c r="BK29" s="1291"/>
      <c r="BL29" s="1291"/>
      <c r="BM29" s="1291"/>
      <c r="BN29" s="1291"/>
      <c r="BO29" s="1291"/>
      <c r="BP29" s="1291"/>
      <c r="BQ29" s="1291"/>
      <c r="BR29" s="1291"/>
      <c r="BS29" s="1291"/>
      <c r="BT29" s="1291"/>
      <c r="BU29" s="1291"/>
      <c r="BV29" s="1291"/>
      <c r="BW29" s="1291"/>
      <c r="BX29" s="1291"/>
      <c r="BY29" s="1291"/>
      <c r="BZ29" s="1291"/>
      <c r="CA29" s="1291"/>
      <c r="CB29" s="1291"/>
      <c r="CC29" s="1291"/>
      <c r="CD29" s="1291"/>
      <c r="CE29" s="1291"/>
      <c r="CF29" s="1291"/>
      <c r="CG29" s="1291"/>
      <c r="CH29" s="1291"/>
      <c r="CI29" s="1291"/>
      <c r="CJ29" s="1291"/>
      <c r="CK29" s="1291"/>
      <c r="CL29" s="1291"/>
      <c r="CM29" s="1291"/>
      <c r="CN29" s="1291"/>
      <c r="CO29" s="1291"/>
      <c r="CP29" s="1291"/>
      <c r="CQ29" s="1291"/>
      <c r="CR29" s="1291"/>
      <c r="CS29" s="1291"/>
      <c r="CT29" s="1291"/>
      <c r="CU29" s="1291"/>
      <c r="CV29" s="1291"/>
      <c r="CW29" s="1291"/>
      <c r="CX29" s="1291"/>
      <c r="CY29" s="1291"/>
      <c r="CZ29" s="1291"/>
      <c r="DA29" s="1291"/>
      <c r="DB29" s="1291"/>
      <c r="DC29" s="1291"/>
      <c r="DD29" s="1291"/>
      <c r="DE29" s="1291"/>
      <c r="DF29" s="1291"/>
      <c r="DG29" s="1291"/>
      <c r="DH29" s="1291"/>
      <c r="DI29" s="1291"/>
      <c r="DJ29" s="1291"/>
      <c r="DK29" s="1291"/>
      <c r="DL29" s="1291"/>
      <c r="DM29" s="1291"/>
      <c r="DN29" s="1291"/>
      <c r="DO29" s="1291"/>
      <c r="DP29" s="1291"/>
      <c r="DQ29" s="1291"/>
      <c r="DR29" s="1291"/>
      <c r="DS29" s="1291"/>
      <c r="DT29" s="1291"/>
      <c r="DU29" s="1291"/>
      <c r="DV29" s="1291"/>
      <c r="DW29" s="1291"/>
      <c r="DX29" s="1291"/>
      <c r="DY29" s="1291"/>
      <c r="DZ29" s="1291"/>
      <c r="EA29" s="1291"/>
      <c r="EB29" s="1291"/>
      <c r="EC29" s="1291"/>
      <c r="ED29" s="1291"/>
      <c r="EE29" s="1291"/>
      <c r="EF29" s="1291"/>
      <c r="EG29" s="1291"/>
      <c r="EH29" s="1291"/>
      <c r="EI29" s="1291"/>
      <c r="EJ29" s="1291"/>
      <c r="EK29" s="1291"/>
      <c r="EL29" s="1291"/>
      <c r="EM29" s="1291"/>
      <c r="EN29" s="1291"/>
      <c r="EO29" s="1291"/>
      <c r="EP29" s="1291"/>
      <c r="EQ29" s="1291"/>
      <c r="ER29" s="1291"/>
      <c r="ES29" s="1291"/>
      <c r="ET29" s="1291"/>
      <c r="EU29" s="1291"/>
      <c r="EV29" s="1291"/>
      <c r="EW29" s="1291"/>
      <c r="EX29" s="1291"/>
      <c r="EY29" s="1291"/>
      <c r="EZ29" s="1291"/>
      <c r="FA29" s="1291"/>
      <c r="FB29" s="1291"/>
      <c r="FC29" s="1291"/>
      <c r="FD29" s="1291"/>
      <c r="FE29" s="1291"/>
      <c r="FF29" s="1291"/>
      <c r="FG29" s="1291"/>
      <c r="FH29" s="1291"/>
      <c r="FI29" s="1291"/>
      <c r="FJ29" s="1291"/>
      <c r="FK29" s="1291"/>
      <c r="FL29" s="1291"/>
      <c r="FM29" s="1291"/>
      <c r="FN29" s="1291"/>
      <c r="FO29" s="1291"/>
      <c r="FP29" s="1291"/>
      <c r="FQ29" s="1291"/>
      <c r="FR29" s="1291"/>
      <c r="FS29" s="1291"/>
      <c r="FT29" s="1291"/>
      <c r="FU29" s="1291"/>
      <c r="FV29" s="1291"/>
      <c r="FW29" s="1291"/>
      <c r="FX29" s="1291"/>
      <c r="FY29" s="1291"/>
      <c r="FZ29" s="1291"/>
      <c r="GA29" s="1291"/>
      <c r="GB29" s="1291"/>
      <c r="GC29" s="1291"/>
      <c r="GD29" s="1291"/>
      <c r="GE29" s="1291"/>
      <c r="GF29" s="1291"/>
      <c r="GG29" s="1291"/>
      <c r="GH29" s="1291"/>
      <c r="GI29" s="1291"/>
      <c r="GJ29" s="1291"/>
      <c r="GK29" s="1291"/>
      <c r="GL29" s="1291"/>
      <c r="GM29" s="1291"/>
      <c r="GN29" s="1291"/>
      <c r="GO29" s="1291"/>
      <c r="GP29" s="1291"/>
      <c r="GQ29" s="1291"/>
    </row>
    <row r="30" spans="1:199" x14ac:dyDescent="0.3">
      <c r="A30" s="1386" t="s">
        <v>561</v>
      </c>
      <c r="B30" s="1491"/>
      <c r="C30" s="1517"/>
      <c r="D30" s="1491"/>
      <c r="E30" s="1492"/>
      <c r="F30" s="1493"/>
      <c r="G30" s="1494"/>
      <c r="H30" s="1493"/>
      <c r="I30" s="1493"/>
      <c r="J30" s="1494"/>
      <c r="K30" s="1496"/>
      <c r="L30" s="1493"/>
      <c r="M30" s="1494"/>
      <c r="N30" s="1493"/>
      <c r="O30" s="1493"/>
      <c r="P30" s="1497"/>
      <c r="Q30" s="1554"/>
      <c r="R30" s="1493"/>
      <c r="S30" s="1493">
        <v>3500</v>
      </c>
      <c r="T30" s="1497">
        <f>SUM(S30)</f>
        <v>3500</v>
      </c>
      <c r="U30" s="1386"/>
      <c r="V30" s="1493"/>
      <c r="W30" s="1493"/>
      <c r="X30" s="1515"/>
      <c r="Y30" s="1496"/>
      <c r="Z30" s="1493"/>
      <c r="AA30" s="1495"/>
      <c r="AB30" s="1496"/>
      <c r="AC30" s="1493"/>
      <c r="AD30" s="1497"/>
      <c r="AE30" s="1340">
        <f>+B30+C30+D30+G30+J30+M30+P30+T30+X30+AA30+AD30</f>
        <v>3500</v>
      </c>
      <c r="AF30" s="1291"/>
      <c r="AG30" s="1291"/>
      <c r="AH30" s="1291"/>
      <c r="AI30" s="1291"/>
      <c r="AJ30" s="1291"/>
      <c r="AK30" s="1291"/>
      <c r="AL30" s="1291"/>
      <c r="AM30" s="1291"/>
      <c r="AN30" s="1291"/>
      <c r="AO30" s="1291"/>
      <c r="AP30" s="1291"/>
      <c r="AQ30" s="1291"/>
      <c r="AR30" s="1291"/>
      <c r="AS30" s="1291"/>
      <c r="AT30" s="1291"/>
      <c r="AU30" s="1291"/>
      <c r="AV30" s="1291"/>
      <c r="AW30" s="1291"/>
      <c r="AX30" s="1291"/>
      <c r="AY30" s="1291"/>
      <c r="AZ30" s="1291"/>
      <c r="BA30" s="1291"/>
      <c r="BB30" s="1291"/>
      <c r="BC30" s="1291"/>
      <c r="BD30" s="1291"/>
      <c r="BE30" s="1291"/>
      <c r="BF30" s="1291"/>
      <c r="BG30" s="1291"/>
      <c r="BH30" s="1291"/>
      <c r="BI30" s="1291"/>
      <c r="BJ30" s="1291"/>
      <c r="BK30" s="1291"/>
      <c r="BL30" s="1291"/>
      <c r="BM30" s="1291"/>
      <c r="BN30" s="1291"/>
      <c r="BO30" s="1291"/>
      <c r="BP30" s="1291"/>
      <c r="BQ30" s="1291"/>
      <c r="BR30" s="1291"/>
      <c r="BS30" s="1291"/>
      <c r="BT30" s="1291"/>
      <c r="BU30" s="1291"/>
      <c r="BV30" s="1291"/>
      <c r="BW30" s="1291"/>
      <c r="BX30" s="1291"/>
      <c r="BY30" s="1291"/>
      <c r="BZ30" s="1291"/>
      <c r="CA30" s="1291"/>
      <c r="CB30" s="1291"/>
      <c r="CC30" s="1291"/>
      <c r="CD30" s="1291"/>
      <c r="CE30" s="1291"/>
      <c r="CF30" s="1291"/>
      <c r="CG30" s="1291"/>
      <c r="CH30" s="1291"/>
      <c r="CI30" s="1291"/>
      <c r="CJ30" s="1291"/>
      <c r="CK30" s="1291"/>
      <c r="CL30" s="1291"/>
      <c r="CM30" s="1291"/>
      <c r="CN30" s="1291"/>
      <c r="CO30" s="1291"/>
      <c r="CP30" s="1291"/>
      <c r="CQ30" s="1291"/>
      <c r="CR30" s="1291"/>
      <c r="CS30" s="1291"/>
      <c r="CT30" s="1291"/>
      <c r="CU30" s="1291"/>
      <c r="CV30" s="1291"/>
      <c r="CW30" s="1291"/>
      <c r="CX30" s="1291"/>
      <c r="CY30" s="1291"/>
      <c r="CZ30" s="1291"/>
      <c r="DA30" s="1291"/>
      <c r="DB30" s="1291"/>
      <c r="DC30" s="1291"/>
      <c r="DD30" s="1291"/>
      <c r="DE30" s="1291"/>
      <c r="DF30" s="1291"/>
      <c r="DG30" s="1291"/>
      <c r="DH30" s="1291"/>
      <c r="DI30" s="1291"/>
      <c r="DJ30" s="1291"/>
      <c r="DK30" s="1291"/>
      <c r="DL30" s="1291"/>
      <c r="DM30" s="1291"/>
      <c r="DN30" s="1291"/>
      <c r="DO30" s="1291"/>
      <c r="DP30" s="1291"/>
      <c r="DQ30" s="1291"/>
      <c r="DR30" s="1291"/>
      <c r="DS30" s="1291"/>
      <c r="DT30" s="1291"/>
      <c r="DU30" s="1291"/>
      <c r="DV30" s="1291"/>
      <c r="DW30" s="1291"/>
      <c r="DX30" s="1291"/>
      <c r="DY30" s="1291"/>
      <c r="DZ30" s="1291"/>
      <c r="EA30" s="1291"/>
      <c r="EB30" s="1291"/>
      <c r="EC30" s="1291"/>
      <c r="ED30" s="1291"/>
      <c r="EE30" s="1291"/>
      <c r="EF30" s="1291"/>
      <c r="EG30" s="1291"/>
      <c r="EH30" s="1291"/>
      <c r="EI30" s="1291"/>
      <c r="EJ30" s="1291"/>
      <c r="EK30" s="1291"/>
      <c r="EL30" s="1291"/>
      <c r="EM30" s="1291"/>
      <c r="EN30" s="1291"/>
      <c r="EO30" s="1291"/>
      <c r="EP30" s="1291"/>
      <c r="EQ30" s="1291"/>
      <c r="ER30" s="1291"/>
      <c r="ES30" s="1291"/>
      <c r="ET30" s="1291"/>
      <c r="EU30" s="1291"/>
      <c r="EV30" s="1291"/>
      <c r="EW30" s="1291"/>
      <c r="EX30" s="1291"/>
      <c r="EY30" s="1291"/>
      <c r="EZ30" s="1291"/>
      <c r="FA30" s="1291"/>
      <c r="FB30" s="1291"/>
      <c r="FC30" s="1291"/>
      <c r="FD30" s="1291"/>
      <c r="FE30" s="1291"/>
      <c r="FF30" s="1291"/>
      <c r="FG30" s="1291"/>
      <c r="FH30" s="1291"/>
      <c r="FI30" s="1291"/>
      <c r="FJ30" s="1291"/>
      <c r="FK30" s="1291"/>
      <c r="FL30" s="1291"/>
      <c r="FM30" s="1291"/>
      <c r="FN30" s="1291"/>
      <c r="FO30" s="1291"/>
      <c r="FP30" s="1291"/>
      <c r="FQ30" s="1291"/>
      <c r="FR30" s="1291"/>
      <c r="FS30" s="1291"/>
      <c r="FT30" s="1291"/>
      <c r="FU30" s="1291"/>
      <c r="FV30" s="1291"/>
      <c r="FW30" s="1291"/>
      <c r="FX30" s="1291"/>
      <c r="FY30" s="1291"/>
      <c r="FZ30" s="1291"/>
      <c r="GA30" s="1291"/>
      <c r="GB30" s="1291"/>
      <c r="GC30" s="1291"/>
      <c r="GD30" s="1291"/>
      <c r="GE30" s="1291"/>
      <c r="GF30" s="1291"/>
      <c r="GG30" s="1291"/>
      <c r="GH30" s="1291"/>
      <c r="GI30" s="1291"/>
      <c r="GJ30" s="1291"/>
      <c r="GK30" s="1291"/>
      <c r="GL30" s="1291"/>
      <c r="GM30" s="1291"/>
      <c r="GN30" s="1291"/>
      <c r="GO30" s="1291"/>
      <c r="GP30" s="1291"/>
      <c r="GQ30" s="1291"/>
    </row>
    <row r="31" spans="1:199" x14ac:dyDescent="0.3">
      <c r="A31" s="1394" t="s">
        <v>567</v>
      </c>
      <c r="B31" s="1491"/>
      <c r="C31" s="1517"/>
      <c r="D31" s="1491"/>
      <c r="E31" s="1492"/>
      <c r="F31" s="1493"/>
      <c r="G31" s="1494"/>
      <c r="H31" s="1493"/>
      <c r="I31" s="1493"/>
      <c r="J31" s="1494"/>
      <c r="K31" s="1496"/>
      <c r="L31" s="1493"/>
      <c r="M31" s="1494"/>
      <c r="N31" s="1493"/>
      <c r="O31" s="1493"/>
      <c r="P31" s="1497"/>
      <c r="Q31" s="1554"/>
      <c r="R31" s="1493"/>
      <c r="S31" s="1493"/>
      <c r="T31" s="1497"/>
      <c r="U31" s="1386"/>
      <c r="V31" s="1493"/>
      <c r="W31" s="1493"/>
      <c r="X31" s="1515"/>
      <c r="Y31" s="1496"/>
      <c r="Z31" s="1493">
        <v>16746</v>
      </c>
      <c r="AA31" s="1553">
        <f>SUM(Y31:Z31)</f>
        <v>16746</v>
      </c>
      <c r="AB31" s="1496"/>
      <c r="AC31" s="1493"/>
      <c r="AD31" s="1497"/>
      <c r="AE31" s="1340">
        <f>+B31+C31+D31+G31+J31+M31+P31+T31+X31+AA31+AD31</f>
        <v>16746</v>
      </c>
      <c r="AF31" s="1291"/>
      <c r="AG31" s="1291"/>
      <c r="AH31" s="1291"/>
      <c r="AI31" s="1291"/>
      <c r="AJ31" s="1291"/>
      <c r="AK31" s="1291"/>
      <c r="AL31" s="1291"/>
      <c r="AM31" s="1291"/>
      <c r="AN31" s="1291"/>
      <c r="AO31" s="1291"/>
      <c r="AP31" s="1291"/>
      <c r="AQ31" s="1291"/>
      <c r="AR31" s="1291"/>
      <c r="AS31" s="1291"/>
      <c r="AT31" s="1291"/>
      <c r="AU31" s="1291"/>
      <c r="AV31" s="1291"/>
      <c r="AW31" s="1291"/>
      <c r="AX31" s="1291"/>
      <c r="AY31" s="1291"/>
      <c r="AZ31" s="1291"/>
      <c r="BA31" s="1291"/>
      <c r="BB31" s="1291"/>
      <c r="BC31" s="1291"/>
      <c r="BD31" s="1291"/>
      <c r="BE31" s="1291"/>
      <c r="BF31" s="1291"/>
      <c r="BG31" s="1291"/>
      <c r="BH31" s="1291"/>
      <c r="BI31" s="1291"/>
      <c r="BJ31" s="1291"/>
      <c r="BK31" s="1291"/>
      <c r="BL31" s="1291"/>
      <c r="BM31" s="1291"/>
      <c r="BN31" s="1291"/>
      <c r="BO31" s="1291"/>
      <c r="BP31" s="1291"/>
      <c r="BQ31" s="1291"/>
      <c r="BR31" s="1291"/>
      <c r="BS31" s="1291"/>
      <c r="BT31" s="1291"/>
      <c r="BU31" s="1291"/>
      <c r="BV31" s="1291"/>
      <c r="BW31" s="1291"/>
      <c r="BX31" s="1291"/>
      <c r="BY31" s="1291"/>
      <c r="BZ31" s="1291"/>
      <c r="CA31" s="1291"/>
      <c r="CB31" s="1291"/>
      <c r="CC31" s="1291"/>
      <c r="CD31" s="1291"/>
      <c r="CE31" s="1291"/>
      <c r="CF31" s="1291"/>
      <c r="CG31" s="1291"/>
      <c r="CH31" s="1291"/>
      <c r="CI31" s="1291"/>
      <c r="CJ31" s="1291"/>
      <c r="CK31" s="1291"/>
      <c r="CL31" s="1291"/>
      <c r="CM31" s="1291"/>
      <c r="CN31" s="1291"/>
      <c r="CO31" s="1291"/>
      <c r="CP31" s="1291"/>
      <c r="CQ31" s="1291"/>
      <c r="CR31" s="1291"/>
      <c r="CS31" s="1291"/>
      <c r="CT31" s="1291"/>
      <c r="CU31" s="1291"/>
      <c r="CV31" s="1291"/>
      <c r="CW31" s="1291"/>
      <c r="CX31" s="1291"/>
      <c r="CY31" s="1291"/>
      <c r="CZ31" s="1291"/>
      <c r="DA31" s="1291"/>
      <c r="DB31" s="1291"/>
      <c r="DC31" s="1291"/>
      <c r="DD31" s="1291"/>
      <c r="DE31" s="1291"/>
      <c r="DF31" s="1291"/>
      <c r="DG31" s="1291"/>
      <c r="DH31" s="1291"/>
      <c r="DI31" s="1291"/>
      <c r="DJ31" s="1291"/>
      <c r="DK31" s="1291"/>
      <c r="DL31" s="1291"/>
      <c r="DM31" s="1291"/>
      <c r="DN31" s="1291"/>
      <c r="DO31" s="1291"/>
      <c r="DP31" s="1291"/>
      <c r="DQ31" s="1291"/>
      <c r="DR31" s="1291"/>
      <c r="DS31" s="1291"/>
      <c r="DT31" s="1291"/>
      <c r="DU31" s="1291"/>
      <c r="DV31" s="1291"/>
      <c r="DW31" s="1291"/>
      <c r="DX31" s="1291"/>
      <c r="DY31" s="1291"/>
      <c r="DZ31" s="1291"/>
      <c r="EA31" s="1291"/>
      <c r="EB31" s="1291"/>
      <c r="EC31" s="1291"/>
      <c r="ED31" s="1291"/>
      <c r="EE31" s="1291"/>
      <c r="EF31" s="1291"/>
      <c r="EG31" s="1291"/>
      <c r="EH31" s="1291"/>
      <c r="EI31" s="1291"/>
      <c r="EJ31" s="1291"/>
      <c r="EK31" s="1291"/>
      <c r="EL31" s="1291"/>
      <c r="EM31" s="1291"/>
      <c r="EN31" s="1291"/>
      <c r="EO31" s="1291"/>
      <c r="EP31" s="1291"/>
      <c r="EQ31" s="1291"/>
      <c r="ER31" s="1291"/>
      <c r="ES31" s="1291"/>
      <c r="ET31" s="1291"/>
      <c r="EU31" s="1291"/>
      <c r="EV31" s="1291"/>
      <c r="EW31" s="1291"/>
      <c r="EX31" s="1291"/>
      <c r="EY31" s="1291"/>
      <c r="EZ31" s="1291"/>
      <c r="FA31" s="1291"/>
      <c r="FB31" s="1291"/>
      <c r="FC31" s="1291"/>
      <c r="FD31" s="1291"/>
      <c r="FE31" s="1291"/>
      <c r="FF31" s="1291"/>
      <c r="FG31" s="1291"/>
      <c r="FH31" s="1291"/>
      <c r="FI31" s="1291"/>
      <c r="FJ31" s="1291"/>
      <c r="FK31" s="1291"/>
      <c r="FL31" s="1291"/>
      <c r="FM31" s="1291"/>
      <c r="FN31" s="1291"/>
      <c r="FO31" s="1291"/>
      <c r="FP31" s="1291"/>
      <c r="FQ31" s="1291"/>
      <c r="FR31" s="1291"/>
      <c r="FS31" s="1291"/>
      <c r="FT31" s="1291"/>
      <c r="FU31" s="1291"/>
      <c r="FV31" s="1291"/>
      <c r="FW31" s="1291"/>
      <c r="FX31" s="1291"/>
      <c r="FY31" s="1291"/>
      <c r="FZ31" s="1291"/>
      <c r="GA31" s="1291"/>
      <c r="GB31" s="1291"/>
      <c r="GC31" s="1291"/>
      <c r="GD31" s="1291"/>
      <c r="GE31" s="1291"/>
      <c r="GF31" s="1291"/>
      <c r="GG31" s="1291"/>
      <c r="GH31" s="1291"/>
      <c r="GI31" s="1291"/>
      <c r="GJ31" s="1291"/>
      <c r="GK31" s="1291"/>
      <c r="GL31" s="1291"/>
      <c r="GM31" s="1291"/>
      <c r="GN31" s="1291"/>
      <c r="GO31" s="1291"/>
      <c r="GP31" s="1291"/>
      <c r="GQ31" s="1291"/>
    </row>
    <row r="32" spans="1:199" x14ac:dyDescent="0.3">
      <c r="A32" s="1394" t="s">
        <v>563</v>
      </c>
      <c r="B32" s="1491"/>
      <c r="C32" s="1517"/>
      <c r="D32" s="1491"/>
      <c r="E32" s="1492"/>
      <c r="F32" s="1493"/>
      <c r="G32" s="1494"/>
      <c r="H32" s="1493"/>
      <c r="I32" s="1493"/>
      <c r="J32" s="1494"/>
      <c r="K32" s="1496"/>
      <c r="L32" s="1493"/>
      <c r="M32" s="1494"/>
      <c r="N32" s="1493">
        <v>6392</v>
      </c>
      <c r="O32" s="1493"/>
      <c r="P32" s="1497">
        <f>SUM(N32:O32)</f>
        <v>6392</v>
      </c>
      <c r="Q32" s="1554"/>
      <c r="R32" s="1493"/>
      <c r="S32" s="1493"/>
      <c r="T32" s="1497"/>
      <c r="U32" s="1386"/>
      <c r="V32" s="1493"/>
      <c r="W32" s="1493"/>
      <c r="X32" s="1515"/>
      <c r="Y32" s="1496"/>
      <c r="Z32" s="1493"/>
      <c r="AA32" s="1495"/>
      <c r="AB32" s="1496"/>
      <c r="AC32" s="1493"/>
      <c r="AD32" s="1497"/>
      <c r="AE32" s="1340">
        <f>+B32+C32+D32+G32+J32+M32+P32+T32+X32+AA32+AD32</f>
        <v>6392</v>
      </c>
      <c r="AF32" s="1291"/>
      <c r="AG32" s="1291"/>
      <c r="AH32" s="1291"/>
      <c r="AI32" s="1291"/>
      <c r="AJ32" s="1291"/>
      <c r="AK32" s="1291"/>
      <c r="AL32" s="1291"/>
      <c r="AM32" s="1291"/>
      <c r="AN32" s="1291"/>
      <c r="AO32" s="1291"/>
      <c r="AP32" s="1291"/>
      <c r="AQ32" s="1291"/>
      <c r="AR32" s="1291"/>
      <c r="AS32" s="1291"/>
      <c r="AT32" s="1291"/>
      <c r="AU32" s="1291"/>
      <c r="AV32" s="1291"/>
      <c r="AW32" s="1291"/>
      <c r="AX32" s="1291"/>
      <c r="AY32" s="1291"/>
      <c r="AZ32" s="1291"/>
      <c r="BA32" s="1291"/>
      <c r="BB32" s="1291"/>
      <c r="BC32" s="1291"/>
      <c r="BD32" s="1291"/>
      <c r="BE32" s="1291"/>
      <c r="BF32" s="1291"/>
      <c r="BG32" s="1291"/>
      <c r="BH32" s="1291"/>
      <c r="BI32" s="1291"/>
      <c r="BJ32" s="1291"/>
      <c r="BK32" s="1291"/>
      <c r="BL32" s="1291"/>
      <c r="BM32" s="1291"/>
      <c r="BN32" s="1291"/>
      <c r="BO32" s="1291"/>
      <c r="BP32" s="1291"/>
      <c r="BQ32" s="1291"/>
      <c r="BR32" s="1291"/>
      <c r="BS32" s="1291"/>
      <c r="BT32" s="1291"/>
      <c r="BU32" s="1291"/>
      <c r="BV32" s="1291"/>
      <c r="BW32" s="1291"/>
      <c r="BX32" s="1291"/>
      <c r="BY32" s="1291"/>
      <c r="BZ32" s="1291"/>
      <c r="CA32" s="1291"/>
      <c r="CB32" s="1291"/>
      <c r="CC32" s="1291"/>
      <c r="CD32" s="1291"/>
      <c r="CE32" s="1291"/>
      <c r="CF32" s="1291"/>
      <c r="CG32" s="1291"/>
      <c r="CH32" s="1291"/>
      <c r="CI32" s="1291"/>
      <c r="CJ32" s="1291"/>
      <c r="CK32" s="1291"/>
      <c r="CL32" s="1291"/>
      <c r="CM32" s="1291"/>
      <c r="CN32" s="1291"/>
      <c r="CO32" s="1291"/>
      <c r="CP32" s="1291"/>
      <c r="CQ32" s="1291"/>
      <c r="CR32" s="1291"/>
      <c r="CS32" s="1291"/>
      <c r="CT32" s="1291"/>
      <c r="CU32" s="1291"/>
      <c r="CV32" s="1291"/>
      <c r="CW32" s="1291"/>
      <c r="CX32" s="1291"/>
      <c r="CY32" s="1291"/>
      <c r="CZ32" s="1291"/>
      <c r="DA32" s="1291"/>
      <c r="DB32" s="1291"/>
      <c r="DC32" s="1291"/>
      <c r="DD32" s="1291"/>
      <c r="DE32" s="1291"/>
      <c r="DF32" s="1291"/>
      <c r="DG32" s="1291"/>
      <c r="DH32" s="1291"/>
      <c r="DI32" s="1291"/>
      <c r="DJ32" s="1291"/>
      <c r="DK32" s="1291"/>
      <c r="DL32" s="1291"/>
      <c r="DM32" s="1291"/>
      <c r="DN32" s="1291"/>
      <c r="DO32" s="1291"/>
      <c r="DP32" s="1291"/>
      <c r="DQ32" s="1291"/>
      <c r="DR32" s="1291"/>
      <c r="DS32" s="1291"/>
      <c r="DT32" s="1291"/>
      <c r="DU32" s="1291"/>
      <c r="DV32" s="1291"/>
      <c r="DW32" s="1291"/>
      <c r="DX32" s="1291"/>
      <c r="DY32" s="1291"/>
      <c r="DZ32" s="1291"/>
      <c r="EA32" s="1291"/>
      <c r="EB32" s="1291"/>
      <c r="EC32" s="1291"/>
      <c r="ED32" s="1291"/>
      <c r="EE32" s="1291"/>
      <c r="EF32" s="1291"/>
      <c r="EG32" s="1291"/>
      <c r="EH32" s="1291"/>
      <c r="EI32" s="1291"/>
      <c r="EJ32" s="1291"/>
      <c r="EK32" s="1291"/>
      <c r="EL32" s="1291"/>
      <c r="EM32" s="1291"/>
      <c r="EN32" s="1291"/>
      <c r="EO32" s="1291"/>
      <c r="EP32" s="1291"/>
      <c r="EQ32" s="1291"/>
      <c r="ER32" s="1291"/>
      <c r="ES32" s="1291"/>
      <c r="ET32" s="1291"/>
      <c r="EU32" s="1291"/>
      <c r="EV32" s="1291"/>
      <c r="EW32" s="1291"/>
      <c r="EX32" s="1291"/>
      <c r="EY32" s="1291"/>
      <c r="EZ32" s="1291"/>
      <c r="FA32" s="1291"/>
      <c r="FB32" s="1291"/>
      <c r="FC32" s="1291"/>
      <c r="FD32" s="1291"/>
      <c r="FE32" s="1291"/>
      <c r="FF32" s="1291"/>
      <c r="FG32" s="1291"/>
      <c r="FH32" s="1291"/>
      <c r="FI32" s="1291"/>
      <c r="FJ32" s="1291"/>
      <c r="FK32" s="1291"/>
      <c r="FL32" s="1291"/>
      <c r="FM32" s="1291"/>
      <c r="FN32" s="1291"/>
      <c r="FO32" s="1291"/>
      <c r="FP32" s="1291"/>
      <c r="FQ32" s="1291"/>
      <c r="FR32" s="1291"/>
      <c r="FS32" s="1291"/>
      <c r="FT32" s="1291"/>
      <c r="FU32" s="1291"/>
      <c r="FV32" s="1291"/>
      <c r="FW32" s="1291"/>
      <c r="FX32" s="1291"/>
      <c r="FY32" s="1291"/>
      <c r="FZ32" s="1291"/>
      <c r="GA32" s="1291"/>
      <c r="GB32" s="1291"/>
      <c r="GC32" s="1291"/>
      <c r="GD32" s="1291"/>
      <c r="GE32" s="1291"/>
      <c r="GF32" s="1291"/>
      <c r="GG32" s="1291"/>
      <c r="GH32" s="1291"/>
      <c r="GI32" s="1291"/>
      <c r="GJ32" s="1291"/>
      <c r="GK32" s="1291"/>
      <c r="GL32" s="1291"/>
      <c r="GM32" s="1291"/>
      <c r="GN32" s="1291"/>
      <c r="GO32" s="1291"/>
      <c r="GP32" s="1291"/>
      <c r="GQ32" s="1291"/>
    </row>
    <row r="33" spans="1:199" ht="19.5" thickBot="1" x14ac:dyDescent="0.35">
      <c r="A33" s="1394" t="s">
        <v>550</v>
      </c>
      <c r="B33" s="1491"/>
      <c r="C33" s="1517"/>
      <c r="D33" s="1491"/>
      <c r="E33" s="1492">
        <v>1287</v>
      </c>
      <c r="F33" s="1493"/>
      <c r="G33" s="1497">
        <f>SUM(E33:F33)</f>
        <v>1287</v>
      </c>
      <c r="H33" s="1493"/>
      <c r="I33" s="1493"/>
      <c r="J33" s="1494"/>
      <c r="K33" s="1496"/>
      <c r="L33" s="1493"/>
      <c r="M33" s="1494"/>
      <c r="N33" s="1493"/>
      <c r="O33" s="1493"/>
      <c r="P33" s="1494"/>
      <c r="Q33" s="1554"/>
      <c r="R33" s="1493"/>
      <c r="S33" s="1493"/>
      <c r="T33" s="1497"/>
      <c r="U33" s="1386"/>
      <c r="V33" s="1493"/>
      <c r="W33" s="1493"/>
      <c r="X33" s="1515"/>
      <c r="Y33" s="1496"/>
      <c r="Z33" s="1493"/>
      <c r="AA33" s="1495"/>
      <c r="AB33" s="1496"/>
      <c r="AC33" s="1493"/>
      <c r="AD33" s="1497"/>
      <c r="AE33" s="1340">
        <f>+B33+C33+D33+G33+J33+M33+P33+T33+X33+AA33+AD33</f>
        <v>1287</v>
      </c>
      <c r="AF33" s="1291"/>
      <c r="AG33" s="1291"/>
      <c r="AH33" s="1291"/>
      <c r="AI33" s="1291"/>
      <c r="AJ33" s="1291"/>
      <c r="AK33" s="1291"/>
      <c r="AL33" s="1291"/>
      <c r="AM33" s="1291"/>
      <c r="AN33" s="1291"/>
      <c r="AO33" s="1291"/>
      <c r="AP33" s="1291"/>
      <c r="AQ33" s="1291"/>
      <c r="AR33" s="1291"/>
      <c r="AS33" s="1291"/>
      <c r="AT33" s="1291"/>
      <c r="AU33" s="1291"/>
      <c r="AV33" s="1291"/>
      <c r="AW33" s="1291"/>
      <c r="AX33" s="1291"/>
      <c r="AY33" s="1291"/>
      <c r="AZ33" s="1291"/>
      <c r="BA33" s="1291"/>
      <c r="BB33" s="1291"/>
      <c r="BC33" s="1291"/>
      <c r="BD33" s="1291"/>
      <c r="BE33" s="1291"/>
      <c r="BF33" s="1291"/>
      <c r="BG33" s="1291"/>
      <c r="BH33" s="1291"/>
      <c r="BI33" s="1291"/>
      <c r="BJ33" s="1291"/>
      <c r="BK33" s="1291"/>
      <c r="BL33" s="1291"/>
      <c r="BM33" s="1291"/>
      <c r="BN33" s="1291"/>
      <c r="BO33" s="1291"/>
      <c r="BP33" s="1291"/>
      <c r="BQ33" s="1291"/>
      <c r="BR33" s="1291"/>
      <c r="BS33" s="1291"/>
      <c r="BT33" s="1291"/>
      <c r="BU33" s="1291"/>
      <c r="BV33" s="1291"/>
      <c r="BW33" s="1291"/>
      <c r="BX33" s="1291"/>
      <c r="BY33" s="1291"/>
      <c r="BZ33" s="1291"/>
      <c r="CA33" s="1291"/>
      <c r="CB33" s="1291"/>
      <c r="CC33" s="1291"/>
      <c r="CD33" s="1291"/>
      <c r="CE33" s="1291"/>
      <c r="CF33" s="1291"/>
      <c r="CG33" s="1291"/>
      <c r="CH33" s="1291"/>
      <c r="CI33" s="1291"/>
      <c r="CJ33" s="1291"/>
      <c r="CK33" s="1291"/>
      <c r="CL33" s="1291"/>
      <c r="CM33" s="1291"/>
      <c r="CN33" s="1291"/>
      <c r="CO33" s="1291"/>
      <c r="CP33" s="1291"/>
      <c r="CQ33" s="1291"/>
      <c r="CR33" s="1291"/>
      <c r="CS33" s="1291"/>
      <c r="CT33" s="1291"/>
      <c r="CU33" s="1291"/>
      <c r="CV33" s="1291"/>
      <c r="CW33" s="1291"/>
      <c r="CX33" s="1291"/>
      <c r="CY33" s="1291"/>
      <c r="CZ33" s="1291"/>
      <c r="DA33" s="1291"/>
      <c r="DB33" s="1291"/>
      <c r="DC33" s="1291"/>
      <c r="DD33" s="1291"/>
      <c r="DE33" s="1291"/>
      <c r="DF33" s="1291"/>
      <c r="DG33" s="1291"/>
      <c r="DH33" s="1291"/>
      <c r="DI33" s="1291"/>
      <c r="DJ33" s="1291"/>
      <c r="DK33" s="1291"/>
      <c r="DL33" s="1291"/>
      <c r="DM33" s="1291"/>
      <c r="DN33" s="1291"/>
      <c r="DO33" s="1291"/>
      <c r="DP33" s="1291"/>
      <c r="DQ33" s="1291"/>
      <c r="DR33" s="1291"/>
      <c r="DS33" s="1291"/>
      <c r="DT33" s="1291"/>
      <c r="DU33" s="1291"/>
      <c r="DV33" s="1291"/>
      <c r="DW33" s="1291"/>
      <c r="DX33" s="1291"/>
      <c r="DY33" s="1291"/>
      <c r="DZ33" s="1291"/>
      <c r="EA33" s="1291"/>
      <c r="EB33" s="1291"/>
      <c r="EC33" s="1291"/>
      <c r="ED33" s="1291"/>
      <c r="EE33" s="1291"/>
      <c r="EF33" s="1291"/>
      <c r="EG33" s="1291"/>
      <c r="EH33" s="1291"/>
      <c r="EI33" s="1291"/>
      <c r="EJ33" s="1291"/>
      <c r="EK33" s="1291"/>
      <c r="EL33" s="1291"/>
      <c r="EM33" s="1291"/>
      <c r="EN33" s="1291"/>
      <c r="EO33" s="1291"/>
      <c r="EP33" s="1291"/>
      <c r="EQ33" s="1291"/>
      <c r="ER33" s="1291"/>
      <c r="ES33" s="1291"/>
      <c r="ET33" s="1291"/>
      <c r="EU33" s="1291"/>
      <c r="EV33" s="1291"/>
      <c r="EW33" s="1291"/>
      <c r="EX33" s="1291"/>
      <c r="EY33" s="1291"/>
      <c r="EZ33" s="1291"/>
      <c r="FA33" s="1291"/>
      <c r="FB33" s="1291"/>
      <c r="FC33" s="1291"/>
      <c r="FD33" s="1291"/>
      <c r="FE33" s="1291"/>
      <c r="FF33" s="1291"/>
      <c r="FG33" s="1291"/>
      <c r="FH33" s="1291"/>
      <c r="FI33" s="1291"/>
      <c r="FJ33" s="1291"/>
      <c r="FK33" s="1291"/>
      <c r="FL33" s="1291"/>
      <c r="FM33" s="1291"/>
      <c r="FN33" s="1291"/>
      <c r="FO33" s="1291"/>
      <c r="FP33" s="1291"/>
      <c r="FQ33" s="1291"/>
      <c r="FR33" s="1291"/>
      <c r="FS33" s="1291"/>
      <c r="FT33" s="1291"/>
      <c r="FU33" s="1291"/>
      <c r="FV33" s="1291"/>
      <c r="FW33" s="1291"/>
      <c r="FX33" s="1291"/>
      <c r="FY33" s="1291"/>
      <c r="FZ33" s="1291"/>
      <c r="GA33" s="1291"/>
      <c r="GB33" s="1291"/>
      <c r="GC33" s="1291"/>
      <c r="GD33" s="1291"/>
      <c r="GE33" s="1291"/>
      <c r="GF33" s="1291"/>
      <c r="GG33" s="1291"/>
      <c r="GH33" s="1291"/>
      <c r="GI33" s="1291"/>
      <c r="GJ33" s="1291"/>
      <c r="GK33" s="1291"/>
      <c r="GL33" s="1291"/>
      <c r="GM33" s="1291"/>
      <c r="GN33" s="1291"/>
      <c r="GO33" s="1291"/>
      <c r="GP33" s="1291"/>
      <c r="GQ33" s="1291"/>
    </row>
    <row r="34" spans="1:199" s="1376" customFormat="1" ht="20.25" thickTop="1" thickBot="1" x14ac:dyDescent="0.35">
      <c r="A34" s="1518" t="s">
        <v>580</v>
      </c>
      <c r="B34" s="1519">
        <f>+B28+B5</f>
        <v>80000</v>
      </c>
      <c r="C34" s="1519">
        <f>+C28+C5</f>
        <v>676600</v>
      </c>
      <c r="D34" s="1531">
        <f>+D5</f>
        <v>122200</v>
      </c>
      <c r="E34" s="3230">
        <f>+G5+G33</f>
        <v>207567</v>
      </c>
      <c r="F34" s="3230"/>
      <c r="G34" s="3230"/>
      <c r="H34" s="3230">
        <f>+J5+J29</f>
        <v>113600</v>
      </c>
      <c r="I34" s="3230"/>
      <c r="J34" s="3230"/>
      <c r="K34" s="3230">
        <f>+M5+M29</f>
        <v>189920</v>
      </c>
      <c r="L34" s="3230"/>
      <c r="M34" s="3230"/>
      <c r="N34" s="3230">
        <f>+P5+P29+P32</f>
        <v>170532</v>
      </c>
      <c r="O34" s="3230"/>
      <c r="P34" s="3231"/>
      <c r="Q34" s="1558" t="s">
        <v>580</v>
      </c>
      <c r="R34" s="3230">
        <f>+T5+T29+T30</f>
        <v>94500</v>
      </c>
      <c r="S34" s="3230"/>
      <c r="T34" s="3230"/>
      <c r="U34" s="1520" t="s">
        <v>580</v>
      </c>
      <c r="V34" s="3230">
        <f>+X5+X29</f>
        <v>50241</v>
      </c>
      <c r="W34" s="3230"/>
      <c r="X34" s="3230"/>
      <c r="Y34" s="3230">
        <f>+AA5+AA31</f>
        <v>337036</v>
      </c>
      <c r="Z34" s="3230"/>
      <c r="AA34" s="3230"/>
      <c r="AB34" s="3230">
        <f>+AD5</f>
        <v>103600</v>
      </c>
      <c r="AC34" s="3230"/>
      <c r="AD34" s="3230"/>
      <c r="AE34" s="1521">
        <f>+B34+C34+D34+E34+H34+K34+N34+R34+V34+Y34+AB34</f>
        <v>2145796</v>
      </c>
      <c r="AF34" s="1522"/>
      <c r="AG34" s="1522"/>
      <c r="AH34" s="1522"/>
      <c r="AI34" s="1522"/>
      <c r="AJ34" s="1522"/>
      <c r="AK34" s="1522"/>
      <c r="AL34" s="1522"/>
      <c r="AM34" s="1522"/>
      <c r="AN34" s="1522"/>
      <c r="AO34" s="1522"/>
      <c r="AP34" s="1522"/>
      <c r="AQ34" s="1522"/>
      <c r="AR34" s="1522"/>
      <c r="AS34" s="1522"/>
      <c r="AT34" s="1522"/>
      <c r="AU34" s="1522"/>
      <c r="AV34" s="1522"/>
      <c r="AW34" s="1522"/>
      <c r="AX34" s="1522"/>
      <c r="AY34" s="1522"/>
      <c r="AZ34" s="1522"/>
      <c r="BA34" s="1522"/>
      <c r="BB34" s="1522"/>
      <c r="BC34" s="1522"/>
      <c r="BD34" s="1522"/>
      <c r="BE34" s="1522"/>
      <c r="BF34" s="1522"/>
      <c r="BG34" s="1522"/>
      <c r="BH34" s="1522"/>
      <c r="BI34" s="1522"/>
      <c r="BJ34" s="1522"/>
      <c r="BK34" s="1522"/>
      <c r="BL34" s="1522"/>
      <c r="BM34" s="1522"/>
      <c r="BN34" s="1522"/>
      <c r="BO34" s="1522"/>
      <c r="BP34" s="1522"/>
      <c r="BQ34" s="1522"/>
      <c r="BR34" s="1522"/>
      <c r="BS34" s="1522"/>
      <c r="BT34" s="1522"/>
      <c r="BU34" s="1522"/>
      <c r="BV34" s="1522"/>
      <c r="BW34" s="1522"/>
      <c r="BX34" s="1522"/>
      <c r="BY34" s="1522"/>
      <c r="BZ34" s="1522"/>
      <c r="CA34" s="1522"/>
      <c r="CB34" s="1522"/>
      <c r="CC34" s="1522"/>
      <c r="CD34" s="1522"/>
      <c r="CE34" s="1522"/>
      <c r="CF34" s="1522"/>
      <c r="CG34" s="1522"/>
      <c r="CH34" s="1522"/>
      <c r="CI34" s="1522"/>
      <c r="CJ34" s="1522"/>
      <c r="CK34" s="1522"/>
      <c r="CL34" s="1522"/>
      <c r="CM34" s="1522"/>
      <c r="CN34" s="1522"/>
      <c r="CO34" s="1522"/>
      <c r="CP34" s="1522"/>
      <c r="CQ34" s="1522"/>
      <c r="CR34" s="1522"/>
      <c r="CS34" s="1522"/>
      <c r="CT34" s="1522"/>
      <c r="CU34" s="1522"/>
      <c r="CV34" s="1522"/>
      <c r="CW34" s="1522"/>
      <c r="CX34" s="1522"/>
      <c r="CY34" s="1522"/>
      <c r="CZ34" s="1522"/>
      <c r="DA34" s="1522"/>
      <c r="DB34" s="1522"/>
      <c r="DC34" s="1522"/>
      <c r="DD34" s="1522"/>
      <c r="DE34" s="1522"/>
      <c r="DF34" s="1522"/>
      <c r="DG34" s="1522"/>
      <c r="DH34" s="1522"/>
      <c r="DI34" s="1522"/>
      <c r="DJ34" s="1522"/>
      <c r="DK34" s="1522"/>
      <c r="DL34" s="1522"/>
      <c r="DM34" s="1522"/>
      <c r="DN34" s="1522"/>
      <c r="DO34" s="1522"/>
      <c r="DP34" s="1522"/>
      <c r="DQ34" s="1522"/>
      <c r="DR34" s="1522"/>
      <c r="DS34" s="1522"/>
      <c r="DT34" s="1522"/>
      <c r="DU34" s="1522"/>
      <c r="DV34" s="1522"/>
      <c r="DW34" s="1522"/>
      <c r="DX34" s="1522"/>
      <c r="DY34" s="1522"/>
      <c r="DZ34" s="1522"/>
      <c r="EA34" s="1522"/>
      <c r="EB34" s="1522"/>
      <c r="EC34" s="1522"/>
      <c r="ED34" s="1522"/>
      <c r="EE34" s="1522"/>
      <c r="EF34" s="1522"/>
      <c r="EG34" s="1522"/>
      <c r="EH34" s="1522"/>
      <c r="EI34" s="1522"/>
      <c r="EJ34" s="1522"/>
      <c r="EK34" s="1522"/>
      <c r="EL34" s="1522"/>
      <c r="EM34" s="1522"/>
      <c r="EN34" s="1522"/>
      <c r="EO34" s="1522"/>
      <c r="EP34" s="1522"/>
      <c r="EQ34" s="1522"/>
      <c r="ER34" s="1522"/>
      <c r="ES34" s="1522"/>
      <c r="ET34" s="1522"/>
      <c r="EU34" s="1522"/>
      <c r="EV34" s="1522"/>
      <c r="EW34" s="1522"/>
      <c r="EX34" s="1522"/>
      <c r="EY34" s="1522"/>
      <c r="EZ34" s="1522"/>
      <c r="FA34" s="1522"/>
      <c r="FB34" s="1522"/>
      <c r="FC34" s="1522"/>
      <c r="FD34" s="1522"/>
      <c r="FE34" s="1522"/>
      <c r="FF34" s="1522"/>
      <c r="FG34" s="1522"/>
      <c r="FH34" s="1522"/>
      <c r="FI34" s="1522"/>
      <c r="FJ34" s="1522"/>
      <c r="FK34" s="1522"/>
      <c r="FL34" s="1522"/>
      <c r="FM34" s="1522"/>
      <c r="FN34" s="1522"/>
      <c r="FO34" s="1522"/>
      <c r="FP34" s="1522"/>
      <c r="FQ34" s="1522"/>
      <c r="FR34" s="1522"/>
      <c r="FS34" s="1522"/>
      <c r="FT34" s="1522"/>
      <c r="FU34" s="1522"/>
      <c r="FV34" s="1522"/>
      <c r="FW34" s="1522"/>
      <c r="FX34" s="1522"/>
      <c r="FY34" s="1522"/>
      <c r="FZ34" s="1522"/>
      <c r="GA34" s="1522"/>
      <c r="GB34" s="1522"/>
      <c r="GC34" s="1522"/>
      <c r="GD34" s="1522"/>
      <c r="GE34" s="1522"/>
      <c r="GF34" s="1522"/>
      <c r="GG34" s="1522"/>
      <c r="GH34" s="1522"/>
      <c r="GI34" s="1522"/>
      <c r="GJ34" s="1522"/>
      <c r="GK34" s="1522"/>
      <c r="GL34" s="1522"/>
      <c r="GM34" s="1522"/>
      <c r="GN34" s="1522"/>
      <c r="GO34" s="1522"/>
      <c r="GP34" s="1522"/>
      <c r="GQ34" s="1522"/>
    </row>
    <row r="35" spans="1:199" ht="19.5" thickTop="1" x14ac:dyDescent="0.3"/>
  </sheetData>
  <mergeCells count="19">
    <mergeCell ref="V34:X34"/>
    <mergeCell ref="Y34:AA34"/>
    <mergeCell ref="AB34:AD34"/>
    <mergeCell ref="E34:G34"/>
    <mergeCell ref="H34:J34"/>
    <mergeCell ref="K34:M34"/>
    <mergeCell ref="N34:P34"/>
    <mergeCell ref="R34:T34"/>
    <mergeCell ref="A2:P2"/>
    <mergeCell ref="Q2:AE2"/>
    <mergeCell ref="E3:G3"/>
    <mergeCell ref="H3:J3"/>
    <mergeCell ref="K3:M3"/>
    <mergeCell ref="N3:P3"/>
    <mergeCell ref="R3:T3"/>
    <mergeCell ref="V3:X3"/>
    <mergeCell ref="Y3:AA3"/>
    <mergeCell ref="AB3:AD3"/>
    <mergeCell ref="AE3:AE4"/>
  </mergeCells>
  <pageMargins left="0" right="0" top="0.35433070866141736" bottom="0" header="0.31496062992125984" footer="0.31496062992125984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69"/>
  <sheetViews>
    <sheetView topLeftCell="A23" zoomScale="90" zoomScaleNormal="90" workbookViewId="0">
      <pane ySplit="3" topLeftCell="A26" activePane="bottomLeft" state="frozen"/>
      <selection activeCell="A23" sqref="A23"/>
      <selection pane="bottomLeft" activeCell="S56" sqref="S56"/>
    </sheetView>
  </sheetViews>
  <sheetFormatPr defaultColWidth="9" defaultRowHeight="18.75" x14ac:dyDescent="0.3"/>
  <cols>
    <col min="1" max="2" width="3.5703125" style="1062" customWidth="1"/>
    <col min="3" max="3" width="24.85546875" style="1062" customWidth="1"/>
    <col min="4" max="4" width="10.42578125" style="416" customWidth="1"/>
    <col min="5" max="5" width="9.140625" style="416" customWidth="1"/>
    <col min="6" max="6" width="8.85546875" style="416" customWidth="1"/>
    <col min="7" max="7" width="8.28515625" style="416" customWidth="1"/>
    <col min="8" max="8" width="9" style="416" customWidth="1"/>
    <col min="9" max="9" width="9.42578125" style="416" customWidth="1"/>
    <col min="10" max="10" width="9.140625" style="416" customWidth="1"/>
    <col min="11" max="11" width="9.28515625" style="416" customWidth="1"/>
    <col min="12" max="12" width="9.140625" style="416" customWidth="1"/>
    <col min="13" max="13" width="8.7109375" style="416" customWidth="1"/>
    <col min="14" max="14" width="10.7109375" style="416" customWidth="1"/>
    <col min="15" max="16" width="10.7109375" style="595" hidden="1" customWidth="1"/>
    <col min="17" max="17" width="10.28515625" style="595" customWidth="1"/>
    <col min="18" max="18" width="11" style="366" hidden="1" customWidth="1"/>
    <col min="19" max="19" width="10.7109375" style="366" customWidth="1"/>
    <col min="20" max="20" width="11" style="366" customWidth="1"/>
    <col min="21" max="21" width="10" style="1125" bestFit="1" customWidth="1"/>
    <col min="22" max="35" width="9" style="1125"/>
    <col min="36" max="16384" width="9" style="1062"/>
  </cols>
  <sheetData>
    <row r="1" spans="1:35" ht="19.5" hidden="1" thickBot="1" x14ac:dyDescent="0.35">
      <c r="A1" s="3144" t="s">
        <v>424</v>
      </c>
      <c r="B1" s="3144"/>
      <c r="C1" s="3144"/>
      <c r="D1" s="3144"/>
      <c r="E1" s="3144"/>
      <c r="F1" s="3144"/>
      <c r="G1" s="3144"/>
      <c r="H1" s="3144"/>
      <c r="I1" s="3144"/>
      <c r="J1" s="3144"/>
      <c r="K1" s="3144"/>
      <c r="L1" s="3144"/>
      <c r="M1" s="3144"/>
      <c r="N1" s="3144"/>
    </row>
    <row r="2" spans="1:35" ht="19.5" hidden="1" thickBot="1" x14ac:dyDescent="0.35">
      <c r="A2" s="1063"/>
      <c r="B2" s="1064" t="s">
        <v>425</v>
      </c>
      <c r="D2" s="1063"/>
      <c r="E2" s="1063"/>
      <c r="F2" s="1063"/>
      <c r="G2" s="1063"/>
      <c r="H2" s="1063"/>
      <c r="I2" s="1064" t="s">
        <v>426</v>
      </c>
      <c r="J2" s="1063"/>
      <c r="K2" s="1063"/>
      <c r="L2" s="1063"/>
      <c r="M2" s="1063"/>
      <c r="N2" s="1063"/>
    </row>
    <row r="3" spans="1:35" ht="19.5" hidden="1" thickBot="1" x14ac:dyDescent="0.35">
      <c r="A3" s="1063"/>
      <c r="B3" s="1065"/>
      <c r="D3" s="1063"/>
      <c r="E3" s="1063"/>
      <c r="F3" s="1066"/>
      <c r="G3" s="1063"/>
      <c r="H3" s="1063"/>
      <c r="I3" s="1065"/>
      <c r="J3" s="1063"/>
      <c r="K3" s="1063"/>
      <c r="L3" s="1063"/>
      <c r="M3" s="3198"/>
      <c r="N3" s="3198"/>
    </row>
    <row r="4" spans="1:35" ht="19.5" hidden="1" thickBot="1" x14ac:dyDescent="0.35">
      <c r="A4" s="1063"/>
      <c r="B4" s="1065" t="s">
        <v>427</v>
      </c>
      <c r="D4" s="1063"/>
      <c r="E4" s="3199">
        <v>28188500</v>
      </c>
      <c r="F4" s="3199"/>
      <c r="G4" s="1063"/>
      <c r="H4" s="1063"/>
      <c r="I4" s="1065" t="s">
        <v>428</v>
      </c>
      <c r="J4" s="1063"/>
      <c r="K4" s="1062"/>
      <c r="L4" s="1062"/>
      <c r="M4" s="3199">
        <v>11132050</v>
      </c>
      <c r="N4" s="3199"/>
    </row>
    <row r="5" spans="1:35" ht="19.5" hidden="1" thickBot="1" x14ac:dyDescent="0.35">
      <c r="A5" s="1063"/>
      <c r="B5" s="1065" t="s">
        <v>429</v>
      </c>
      <c r="D5" s="1063"/>
      <c r="E5" s="3200">
        <v>5924400</v>
      </c>
      <c r="F5" s="3200"/>
      <c r="G5" s="1063"/>
      <c r="H5" s="1063"/>
      <c r="I5" s="1065" t="s">
        <v>430</v>
      </c>
      <c r="J5" s="1063"/>
      <c r="K5" s="1062"/>
      <c r="L5" s="1062"/>
      <c r="M5" s="1067"/>
      <c r="N5" s="1067">
        <v>5566000</v>
      </c>
      <c r="U5" s="1228"/>
    </row>
    <row r="6" spans="1:35" ht="19.5" hidden="1" thickBot="1" x14ac:dyDescent="0.35">
      <c r="A6" s="1063"/>
      <c r="B6" s="1065" t="s">
        <v>431</v>
      </c>
      <c r="D6" s="1063"/>
      <c r="E6" s="3212">
        <v>22264100</v>
      </c>
      <c r="F6" s="3212"/>
      <c r="G6" s="1063"/>
      <c r="H6" s="1063"/>
      <c r="I6" s="1065" t="s">
        <v>481</v>
      </c>
      <c r="J6" s="1063"/>
      <c r="K6" s="1062"/>
      <c r="L6" s="1062"/>
      <c r="M6" s="1067"/>
      <c r="N6" s="1067">
        <v>4624750</v>
      </c>
      <c r="U6" s="1228"/>
    </row>
    <row r="7" spans="1:35" s="595" customFormat="1" ht="19.5" hidden="1" thickBot="1" x14ac:dyDescent="0.35">
      <c r="A7" s="1068"/>
      <c r="B7" s="1070" t="s">
        <v>433</v>
      </c>
      <c r="D7" s="1068"/>
      <c r="E7" s="1068"/>
      <c r="F7" s="1123">
        <v>366000</v>
      </c>
      <c r="G7" s="791"/>
      <c r="H7" s="791"/>
      <c r="I7" s="1070" t="s">
        <v>433</v>
      </c>
      <c r="J7" s="791"/>
      <c r="K7" s="791"/>
      <c r="L7" s="791"/>
      <c r="M7" s="3213">
        <v>366000</v>
      </c>
      <c r="N7" s="3213"/>
      <c r="R7" s="366"/>
      <c r="S7" s="366"/>
      <c r="T7" s="366"/>
      <c r="U7" s="1228"/>
      <c r="V7" s="1125"/>
      <c r="W7" s="1125"/>
      <c r="X7" s="1125"/>
      <c r="Y7" s="1125"/>
      <c r="Z7" s="1125"/>
      <c r="AA7" s="1125"/>
      <c r="AB7" s="1125"/>
      <c r="AC7" s="1125"/>
      <c r="AD7" s="1125"/>
      <c r="AE7" s="1125"/>
      <c r="AF7" s="1125"/>
      <c r="AG7" s="1125"/>
      <c r="AH7" s="1125"/>
      <c r="AI7" s="1125"/>
    </row>
    <row r="8" spans="1:35" s="595" customFormat="1" ht="19.5" hidden="1" thickBot="1" x14ac:dyDescent="0.35">
      <c r="A8" s="1068"/>
      <c r="B8" s="1065" t="s">
        <v>432</v>
      </c>
      <c r="C8" s="1062"/>
      <c r="D8" s="1068"/>
      <c r="E8" s="1068"/>
      <c r="F8" s="966">
        <v>6789250</v>
      </c>
      <c r="G8" s="791"/>
      <c r="H8" s="791"/>
      <c r="I8" s="1070" t="s">
        <v>480</v>
      </c>
      <c r="J8" s="791"/>
      <c r="K8" s="791"/>
      <c r="L8" s="791"/>
      <c r="M8" s="1124"/>
      <c r="N8" s="1124">
        <v>1411200</v>
      </c>
      <c r="R8" s="366"/>
      <c r="S8" s="366"/>
      <c r="T8" s="366"/>
      <c r="U8" s="1228"/>
      <c r="V8" s="1125"/>
      <c r="W8" s="1125"/>
      <c r="X8" s="1125"/>
      <c r="Y8" s="1125"/>
      <c r="Z8" s="1125"/>
      <c r="AA8" s="1125"/>
      <c r="AB8" s="1125"/>
      <c r="AC8" s="1125"/>
      <c r="AD8" s="1125"/>
      <c r="AE8" s="1125"/>
      <c r="AF8" s="1125"/>
      <c r="AG8" s="1125"/>
      <c r="AH8" s="1125"/>
      <c r="AI8" s="1125"/>
    </row>
    <row r="9" spans="1:35" ht="19.5" hidden="1" thickBot="1" x14ac:dyDescent="0.35">
      <c r="A9" s="1063"/>
      <c r="B9" s="1065" t="s">
        <v>435</v>
      </c>
      <c r="D9" s="1063"/>
      <c r="E9" s="1119"/>
      <c r="F9" s="1120">
        <v>2822400</v>
      </c>
      <c r="G9" s="1063"/>
      <c r="H9" s="1063"/>
      <c r="I9" s="1063"/>
      <c r="J9" s="1064" t="s">
        <v>434</v>
      </c>
      <c r="K9" s="1062"/>
      <c r="L9" s="1062"/>
      <c r="M9" s="3214">
        <v>23100000</v>
      </c>
      <c r="N9" s="3214"/>
    </row>
    <row r="10" spans="1:35" ht="19.5" hidden="1" thickBot="1" x14ac:dyDescent="0.35">
      <c r="A10" s="1063"/>
      <c r="C10" s="1064" t="s">
        <v>437</v>
      </c>
      <c r="D10" s="1063"/>
      <c r="E10" s="3215">
        <v>32241750</v>
      </c>
      <c r="F10" s="3215"/>
      <c r="G10" s="1063"/>
      <c r="H10" s="1063"/>
      <c r="I10" s="1064" t="s">
        <v>485</v>
      </c>
      <c r="J10" s="1062"/>
      <c r="K10" s="1063"/>
      <c r="L10" s="1119"/>
      <c r="M10" s="1119"/>
    </row>
    <row r="11" spans="1:35" ht="19.5" hidden="1" thickBot="1" x14ac:dyDescent="0.35">
      <c r="A11" s="1063"/>
      <c r="B11" s="1064" t="s">
        <v>439</v>
      </c>
      <c r="C11" s="1063"/>
      <c r="D11" s="1063"/>
      <c r="E11" s="1062"/>
      <c r="F11" s="1120"/>
      <c r="G11" s="1063"/>
      <c r="H11" s="1063"/>
      <c r="I11" s="1065" t="s">
        <v>484</v>
      </c>
      <c r="J11" s="1062"/>
      <c r="K11" s="1063"/>
      <c r="M11" s="1119"/>
      <c r="N11" s="1119">
        <v>3184093</v>
      </c>
    </row>
    <row r="12" spans="1:35" ht="19.5" hidden="1" thickBot="1" x14ac:dyDescent="0.35">
      <c r="A12" s="1063"/>
      <c r="B12" s="1065" t="s">
        <v>441</v>
      </c>
      <c r="D12" s="1063"/>
      <c r="E12" s="1121"/>
      <c r="F12" s="406">
        <v>9360131</v>
      </c>
      <c r="G12" s="1068"/>
      <c r="H12" s="1069"/>
      <c r="I12" s="1065" t="s">
        <v>436</v>
      </c>
      <c r="K12" s="1063"/>
      <c r="N12" s="1119">
        <v>1601814</v>
      </c>
    </row>
    <row r="13" spans="1:35" ht="19.5" hidden="1" thickBot="1" x14ac:dyDescent="0.35">
      <c r="A13" s="1063"/>
      <c r="B13" s="1070" t="s">
        <v>479</v>
      </c>
      <c r="C13" s="366"/>
      <c r="D13" s="1063"/>
      <c r="E13" s="3208">
        <v>22379293.09</v>
      </c>
      <c r="F13" s="3208"/>
      <c r="G13" s="1068"/>
      <c r="H13" s="1063"/>
      <c r="I13" s="1065" t="s">
        <v>482</v>
      </c>
      <c r="K13" s="1062"/>
      <c r="L13" s="3209"/>
      <c r="M13" s="3209"/>
      <c r="N13" s="1119">
        <v>20310</v>
      </c>
      <c r="R13" s="406">
        <v>21498186</v>
      </c>
    </row>
    <row r="14" spans="1:35" ht="19.5" hidden="1" thickBot="1" x14ac:dyDescent="0.35">
      <c r="A14" s="1063"/>
      <c r="B14" s="791"/>
      <c r="C14" s="791" t="s">
        <v>16</v>
      </c>
      <c r="D14" s="1063"/>
      <c r="E14" s="1062"/>
      <c r="F14" s="1121">
        <v>502325.91000000015</v>
      </c>
      <c r="G14" s="1068"/>
      <c r="H14" s="1063"/>
      <c r="I14" s="1065" t="s">
        <v>483</v>
      </c>
      <c r="J14" s="1062"/>
      <c r="K14" s="1062"/>
      <c r="L14" s="3209"/>
      <c r="M14" s="3209"/>
      <c r="N14" s="416">
        <v>1411200</v>
      </c>
    </row>
    <row r="15" spans="1:35" s="366" customFormat="1" ht="19.5" hidden="1" thickBot="1" x14ac:dyDescent="0.35">
      <c r="A15" s="791"/>
      <c r="B15" s="791"/>
      <c r="C15" s="791" t="s">
        <v>488</v>
      </c>
      <c r="D15" s="791"/>
      <c r="E15" s="3179">
        <v>22881619</v>
      </c>
      <c r="F15" s="3179"/>
      <c r="G15" s="1068"/>
      <c r="H15" s="791"/>
      <c r="I15" s="1065" t="s">
        <v>438</v>
      </c>
      <c r="J15" s="1062"/>
      <c r="N15" s="406">
        <v>12333743.050000003</v>
      </c>
      <c r="O15" s="595"/>
      <c r="P15" s="595"/>
      <c r="Q15" s="595"/>
      <c r="T15" s="406"/>
      <c r="U15" s="1125"/>
      <c r="V15" s="1125"/>
      <c r="W15" s="1125"/>
      <c r="X15" s="1125"/>
      <c r="Y15" s="1125"/>
      <c r="Z15" s="1125"/>
      <c r="AA15" s="1125"/>
      <c r="AB15" s="1125"/>
      <c r="AC15" s="1125"/>
      <c r="AD15" s="1125"/>
      <c r="AE15" s="1125"/>
      <c r="AF15" s="1125"/>
      <c r="AG15" s="1125"/>
      <c r="AH15" s="1125"/>
      <c r="AI15" s="1125"/>
    </row>
    <row r="16" spans="1:35" s="366" customFormat="1" ht="19.5" hidden="1" thickBot="1" x14ac:dyDescent="0.35">
      <c r="A16" s="791"/>
      <c r="D16" s="791"/>
      <c r="E16" s="3179"/>
      <c r="F16" s="3179"/>
      <c r="G16" s="1068"/>
      <c r="H16" s="791"/>
      <c r="I16" s="1065" t="s">
        <v>440</v>
      </c>
      <c r="J16" s="1062"/>
      <c r="K16" s="791"/>
      <c r="L16" s="791"/>
      <c r="M16" s="942"/>
      <c r="N16" s="1124">
        <v>2614923.9800000004</v>
      </c>
      <c r="O16" s="595"/>
      <c r="P16" s="595"/>
      <c r="Q16" s="595"/>
      <c r="T16" s="406"/>
      <c r="U16" s="1125"/>
      <c r="V16" s="1125"/>
      <c r="W16" s="1125"/>
      <c r="X16" s="1125"/>
      <c r="Y16" s="1125"/>
      <c r="Z16" s="1125"/>
      <c r="AA16" s="1125"/>
      <c r="AB16" s="1125"/>
      <c r="AC16" s="1125"/>
      <c r="AD16" s="1125"/>
      <c r="AE16" s="1125"/>
      <c r="AF16" s="1125"/>
      <c r="AG16" s="1125"/>
      <c r="AH16" s="1125"/>
      <c r="AI16" s="1125"/>
    </row>
    <row r="17" spans="1:35" s="366" customFormat="1" ht="19.5" hidden="1" thickBot="1" x14ac:dyDescent="0.35">
      <c r="A17" s="791"/>
      <c r="D17" s="791"/>
      <c r="E17" s="3177"/>
      <c r="F17" s="3177"/>
      <c r="G17" s="1068"/>
      <c r="H17" s="943"/>
      <c r="I17" s="1065" t="s">
        <v>442</v>
      </c>
      <c r="K17" s="791"/>
      <c r="L17" s="791"/>
      <c r="M17" s="791"/>
      <c r="N17" s="957">
        <v>2451978</v>
      </c>
      <c r="O17" s="595"/>
      <c r="P17" s="595"/>
      <c r="Q17" s="595"/>
      <c r="U17" s="1125"/>
      <c r="V17" s="1125"/>
      <c r="W17" s="1125"/>
      <c r="X17" s="1125"/>
      <c r="Y17" s="1125"/>
      <c r="Z17" s="1125"/>
      <c r="AA17" s="1125"/>
      <c r="AB17" s="1125"/>
      <c r="AC17" s="1125"/>
      <c r="AD17" s="1125"/>
      <c r="AE17" s="1125"/>
      <c r="AF17" s="1125"/>
      <c r="AG17" s="1125"/>
      <c r="AH17" s="1125"/>
      <c r="AI17" s="1125"/>
    </row>
    <row r="18" spans="1:35" s="366" customFormat="1" ht="19.5" hidden="1" thickBot="1" x14ac:dyDescent="0.35">
      <c r="A18" s="791"/>
      <c r="D18" s="791"/>
      <c r="E18" s="1122"/>
      <c r="F18" s="1122"/>
      <c r="G18" s="1068"/>
      <c r="H18" s="943"/>
      <c r="I18" s="385" t="s">
        <v>443</v>
      </c>
      <c r="K18" s="791"/>
      <c r="L18" s="791"/>
      <c r="M18" s="791"/>
      <c r="N18" s="943">
        <v>-518062.03000000305</v>
      </c>
      <c r="O18" s="595"/>
      <c r="P18" s="595"/>
      <c r="Q18" s="595"/>
      <c r="U18" s="1125"/>
      <c r="V18" s="1125"/>
      <c r="W18" s="1125"/>
      <c r="X18" s="1125"/>
      <c r="Y18" s="1125"/>
      <c r="Z18" s="1125"/>
      <c r="AA18" s="1125"/>
      <c r="AB18" s="1125"/>
      <c r="AC18" s="1125"/>
      <c r="AD18" s="1125"/>
      <c r="AE18" s="1125"/>
      <c r="AF18" s="1125"/>
      <c r="AG18" s="1125"/>
      <c r="AH18" s="1125"/>
      <c r="AI18" s="1125"/>
    </row>
    <row r="19" spans="1:35" s="366" customFormat="1" ht="19.5" hidden="1" thickBot="1" x14ac:dyDescent="0.35">
      <c r="A19" s="791"/>
      <c r="D19" s="791"/>
      <c r="E19" s="1122"/>
      <c r="F19" s="1122"/>
      <c r="G19" s="1068"/>
      <c r="H19" s="943"/>
      <c r="I19" s="385"/>
      <c r="K19" s="791"/>
      <c r="L19" s="791"/>
      <c r="M19" s="791"/>
      <c r="N19" s="943"/>
      <c r="O19" s="595"/>
      <c r="P19" s="595"/>
      <c r="Q19" s="595"/>
      <c r="U19" s="1125"/>
      <c r="V19" s="1125"/>
      <c r="W19" s="1125"/>
      <c r="X19" s="1125"/>
      <c r="Y19" s="1125"/>
      <c r="Z19" s="1125"/>
      <c r="AA19" s="1125"/>
      <c r="AB19" s="1125"/>
      <c r="AC19" s="1125"/>
      <c r="AD19" s="1125"/>
      <c r="AE19" s="1125"/>
      <c r="AF19" s="1125"/>
      <c r="AG19" s="1125"/>
      <c r="AH19" s="1125"/>
      <c r="AI19" s="1125"/>
    </row>
    <row r="20" spans="1:35" s="366" customFormat="1" ht="19.5" hidden="1" thickBot="1" x14ac:dyDescent="0.35">
      <c r="A20" s="791"/>
      <c r="D20" s="791"/>
      <c r="E20" s="1122"/>
      <c r="F20" s="1122"/>
      <c r="G20" s="1068"/>
      <c r="H20" s="943"/>
      <c r="I20" s="385"/>
      <c r="K20" s="791"/>
      <c r="L20" s="791"/>
      <c r="M20" s="791"/>
      <c r="N20" s="943"/>
      <c r="O20" s="595"/>
      <c r="P20" s="595"/>
      <c r="Q20" s="595"/>
      <c r="U20" s="1125"/>
      <c r="V20" s="1125"/>
      <c r="W20" s="1125"/>
      <c r="X20" s="1125"/>
      <c r="Y20" s="1125"/>
      <c r="Z20" s="1125"/>
      <c r="AA20" s="1125"/>
      <c r="AB20" s="1125"/>
      <c r="AC20" s="1125"/>
      <c r="AD20" s="1125"/>
      <c r="AE20" s="1125"/>
      <c r="AF20" s="1125"/>
      <c r="AG20" s="1125"/>
      <c r="AH20" s="1125"/>
      <c r="AI20" s="1125"/>
    </row>
    <row r="21" spans="1:35" s="366" customFormat="1" ht="19.5" hidden="1" thickBot="1" x14ac:dyDescent="0.35">
      <c r="A21" s="791"/>
      <c r="D21" s="791"/>
      <c r="E21" s="1122"/>
      <c r="F21" s="1122"/>
      <c r="G21" s="1068"/>
      <c r="H21" s="943"/>
      <c r="I21" s="385"/>
      <c r="K21" s="791"/>
      <c r="L21" s="791"/>
      <c r="M21" s="791"/>
      <c r="N21" s="943"/>
      <c r="O21" s="595"/>
      <c r="P21" s="595"/>
      <c r="Q21" s="595"/>
      <c r="U21" s="1125"/>
      <c r="V21" s="1125"/>
      <c r="W21" s="1125"/>
      <c r="X21" s="1125"/>
      <c r="Y21" s="1125"/>
      <c r="Z21" s="1125"/>
      <c r="AA21" s="1125"/>
      <c r="AB21" s="1125"/>
      <c r="AC21" s="1125"/>
      <c r="AD21" s="1125"/>
      <c r="AE21" s="1125"/>
      <c r="AF21" s="1125"/>
      <c r="AG21" s="1125"/>
      <c r="AH21" s="1125"/>
      <c r="AI21" s="1125"/>
    </row>
    <row r="22" spans="1:35" s="366" customFormat="1" ht="19.5" hidden="1" thickBot="1" x14ac:dyDescent="0.35">
      <c r="A22" s="791"/>
      <c r="D22" s="791"/>
      <c r="E22" s="1122"/>
      <c r="F22" s="1122"/>
      <c r="G22" s="1068"/>
      <c r="H22" s="943"/>
      <c r="I22" s="385"/>
      <c r="K22" s="791"/>
      <c r="L22" s="791"/>
      <c r="M22" s="791"/>
      <c r="N22" s="943"/>
      <c r="O22" s="595"/>
      <c r="P22" s="595"/>
      <c r="Q22" s="595"/>
      <c r="U22" s="1125"/>
      <c r="V22" s="1125"/>
      <c r="W22" s="1125"/>
      <c r="X22" s="1125"/>
      <c r="Y22" s="1125"/>
      <c r="Z22" s="1125"/>
      <c r="AA22" s="1125"/>
      <c r="AB22" s="1125"/>
      <c r="AC22" s="1125"/>
      <c r="AD22" s="1125"/>
      <c r="AE22" s="1125"/>
      <c r="AF22" s="1125"/>
      <c r="AG22" s="1125"/>
      <c r="AH22" s="1125"/>
      <c r="AI22" s="1125"/>
    </row>
    <row r="23" spans="1:35" s="366" customFormat="1" ht="32.25" customHeight="1" thickBot="1" x14ac:dyDescent="0.35">
      <c r="A23" s="3150" t="s">
        <v>496</v>
      </c>
      <c r="B23" s="3151"/>
      <c r="C23" s="3151"/>
      <c r="D23" s="3151"/>
      <c r="E23" s="3151"/>
      <c r="F23" s="3151"/>
      <c r="G23" s="3151"/>
      <c r="H23" s="3151"/>
      <c r="I23" s="3151"/>
      <c r="J23" s="3151"/>
      <c r="K23" s="3151"/>
      <c r="L23" s="3151"/>
      <c r="M23" s="3151"/>
      <c r="N23" s="3151"/>
      <c r="O23" s="3151"/>
      <c r="P23" s="3151"/>
      <c r="Q23" s="3151"/>
      <c r="R23" s="3151"/>
      <c r="S23" s="3151"/>
      <c r="T23" s="3201"/>
      <c r="U23" s="1125"/>
      <c r="V23" s="1125"/>
      <c r="W23" s="1125"/>
      <c r="X23" s="1125"/>
      <c r="Y23" s="1125"/>
      <c r="Z23" s="1125"/>
      <c r="AA23" s="1125"/>
      <c r="AB23" s="1125"/>
      <c r="AC23" s="1125"/>
      <c r="AD23" s="1125"/>
      <c r="AE23" s="1125"/>
      <c r="AF23" s="1125"/>
      <c r="AG23" s="1125"/>
      <c r="AH23" s="1125"/>
      <c r="AI23" s="1125"/>
    </row>
    <row r="24" spans="1:35" s="1071" customFormat="1" ht="31.5" customHeight="1" x14ac:dyDescent="0.25">
      <c r="A24" s="3152" t="s">
        <v>0</v>
      </c>
      <c r="B24" s="3153"/>
      <c r="C24" s="3154"/>
      <c r="D24" s="3206" t="s">
        <v>444</v>
      </c>
      <c r="E24" s="3216" t="s">
        <v>490</v>
      </c>
      <c r="F24" s="3236" t="s">
        <v>445</v>
      </c>
      <c r="G24" s="3238" t="s">
        <v>446</v>
      </c>
      <c r="H24" s="3220"/>
      <c r="I24" s="3220"/>
      <c r="J24" s="3220"/>
      <c r="K24" s="3220"/>
      <c r="L24" s="3220"/>
      <c r="M24" s="3220"/>
      <c r="N24" s="3221"/>
      <c r="O24" s="3239" t="s">
        <v>489</v>
      </c>
      <c r="P24" s="3240"/>
      <c r="Q24" s="3240"/>
      <c r="R24" s="3241"/>
      <c r="S24" s="3241"/>
      <c r="T24" s="3242"/>
      <c r="U24" s="1126"/>
      <c r="V24" s="1126"/>
      <c r="W24" s="1126"/>
      <c r="X24" s="1126"/>
      <c r="Y24" s="1126"/>
      <c r="Z24" s="1126"/>
      <c r="AA24" s="1126"/>
      <c r="AB24" s="1126"/>
      <c r="AC24" s="1126"/>
      <c r="AD24" s="1126"/>
      <c r="AE24" s="1126"/>
      <c r="AF24" s="1126"/>
      <c r="AG24" s="1126"/>
      <c r="AH24" s="1126"/>
      <c r="AI24" s="1126"/>
    </row>
    <row r="25" spans="1:35" s="1075" customFormat="1" ht="52.5" customHeight="1" x14ac:dyDescent="0.5">
      <c r="A25" s="3232"/>
      <c r="B25" s="3233"/>
      <c r="C25" s="3234"/>
      <c r="D25" s="3218"/>
      <c r="E25" s="3235"/>
      <c r="F25" s="3237"/>
      <c r="G25" s="1072" t="s">
        <v>447</v>
      </c>
      <c r="H25" s="1073" t="s">
        <v>448</v>
      </c>
      <c r="I25" s="1073" t="s">
        <v>449</v>
      </c>
      <c r="J25" s="1073" t="s">
        <v>450</v>
      </c>
      <c r="K25" s="1073" t="s">
        <v>451</v>
      </c>
      <c r="L25" s="1073" t="s">
        <v>452</v>
      </c>
      <c r="M25" s="1257" t="s">
        <v>517</v>
      </c>
      <c r="N25" s="1261" t="s">
        <v>518</v>
      </c>
      <c r="O25" s="1207">
        <v>23833</v>
      </c>
      <c r="P25" s="1222" t="s">
        <v>501</v>
      </c>
      <c r="Q25" s="1222" t="s">
        <v>507</v>
      </c>
      <c r="R25" s="1205" t="s">
        <v>445</v>
      </c>
      <c r="S25" s="1178" t="s">
        <v>509</v>
      </c>
      <c r="T25" s="1196" t="s">
        <v>16</v>
      </c>
      <c r="U25" s="1127"/>
      <c r="V25" s="1127"/>
      <c r="W25" s="1127"/>
      <c r="X25" s="1127"/>
      <c r="Y25" s="1127"/>
      <c r="Z25" s="1127"/>
      <c r="AA25" s="1127"/>
      <c r="AB25" s="1127"/>
      <c r="AC25" s="1127"/>
      <c r="AD25" s="1127"/>
      <c r="AE25" s="1127"/>
      <c r="AF25" s="1127"/>
      <c r="AG25" s="1127"/>
      <c r="AH25" s="1127"/>
      <c r="AI25" s="1127"/>
    </row>
    <row r="26" spans="1:35" s="1071" customFormat="1" ht="15.75" x14ac:dyDescent="0.25">
      <c r="A26" s="1197" t="s">
        <v>454</v>
      </c>
      <c r="B26" s="1077"/>
      <c r="C26" s="1078"/>
      <c r="D26" s="1079">
        <v>12599915.34</v>
      </c>
      <c r="E26" s="1079">
        <v>3703046.88</v>
      </c>
      <c r="F26" s="1080">
        <v>4807390.0600000005</v>
      </c>
      <c r="G26" s="1081">
        <v>351920</v>
      </c>
      <c r="H26" s="1079">
        <v>184077</v>
      </c>
      <c r="I26" s="1079">
        <v>109077</v>
      </c>
      <c r="J26" s="1079">
        <v>523417</v>
      </c>
      <c r="K26" s="1079">
        <v>666911</v>
      </c>
      <c r="L26" s="1079">
        <v>945610</v>
      </c>
      <c r="M26" s="1258">
        <v>2135938</v>
      </c>
      <c r="N26" s="1082">
        <v>2781012</v>
      </c>
      <c r="O26" s="1208">
        <v>1168517</v>
      </c>
      <c r="P26" s="1208">
        <v>1420938.3599999999</v>
      </c>
      <c r="Q26" s="1208">
        <v>1193814</v>
      </c>
      <c r="R26" s="1169"/>
      <c r="S26" s="1152">
        <v>7486316.2400000002</v>
      </c>
      <c r="T26" s="1217">
        <v>5113599.0999999996</v>
      </c>
      <c r="U26" s="1227"/>
      <c r="V26" s="1126"/>
      <c r="W26" s="1126"/>
      <c r="X26" s="1126"/>
      <c r="Y26" s="1126"/>
      <c r="Z26" s="1126"/>
      <c r="AA26" s="1126"/>
      <c r="AB26" s="1126"/>
      <c r="AC26" s="1126"/>
      <c r="AD26" s="1126"/>
      <c r="AE26" s="1126"/>
      <c r="AF26" s="1126"/>
      <c r="AG26" s="1126"/>
      <c r="AH26" s="1126"/>
      <c r="AI26" s="1126"/>
    </row>
    <row r="27" spans="1:35" s="1071" customFormat="1" ht="15.75" x14ac:dyDescent="0.25">
      <c r="A27" s="1198"/>
      <c r="B27" s="1084" t="s">
        <v>455</v>
      </c>
      <c r="C27" s="1085"/>
      <c r="D27" s="1086">
        <v>7920555.3399999999</v>
      </c>
      <c r="E27" s="1086">
        <v>2138316.34</v>
      </c>
      <c r="F27" s="1087">
        <v>3405500.06</v>
      </c>
      <c r="G27" s="1088">
        <v>105094</v>
      </c>
      <c r="H27" s="1086">
        <v>102000</v>
      </c>
      <c r="I27" s="1086">
        <v>102000</v>
      </c>
      <c r="J27" s="1086">
        <v>102000</v>
      </c>
      <c r="K27" s="1086">
        <v>102000</v>
      </c>
      <c r="L27" s="1086">
        <v>212546</v>
      </c>
      <c r="M27" s="1259">
        <v>416546</v>
      </c>
      <c r="N27" s="1089">
        <v>725640</v>
      </c>
      <c r="O27" s="1209">
        <v>825644</v>
      </c>
      <c r="P27" s="1223">
        <v>821499.36</v>
      </c>
      <c r="Q27" s="1251">
        <v>811595</v>
      </c>
      <c r="R27" s="1204">
        <v>0</v>
      </c>
      <c r="S27" s="1155">
        <v>4597054.7</v>
      </c>
      <c r="T27" s="1162">
        <v>3323500.64</v>
      </c>
      <c r="U27" s="1227">
        <v>8002554.7599999998</v>
      </c>
      <c r="V27" s="1126"/>
      <c r="W27" s="1126"/>
      <c r="X27" s="1126"/>
      <c r="Y27" s="1126"/>
      <c r="Z27" s="1126"/>
      <c r="AA27" s="1126"/>
      <c r="AB27" s="1126"/>
      <c r="AC27" s="1126"/>
      <c r="AD27" s="1126"/>
      <c r="AE27" s="1126"/>
      <c r="AF27" s="1126"/>
      <c r="AG27" s="1126"/>
      <c r="AH27" s="1126"/>
      <c r="AI27" s="1126"/>
    </row>
    <row r="28" spans="1:35" s="1091" customFormat="1" ht="15.75" x14ac:dyDescent="0.25">
      <c r="A28" s="1199"/>
      <c r="C28" s="1112" t="s">
        <v>456</v>
      </c>
      <c r="D28" s="1095">
        <v>6789250</v>
      </c>
      <c r="E28" s="1095">
        <v>1738750</v>
      </c>
      <c r="F28" s="1097">
        <v>2886000</v>
      </c>
      <c r="G28" s="1094"/>
      <c r="H28" s="1095"/>
      <c r="I28" s="1095"/>
      <c r="J28" s="1095"/>
      <c r="K28" s="1095"/>
      <c r="L28" s="1095"/>
      <c r="M28" s="1260">
        <v>0</v>
      </c>
      <c r="N28" s="1096">
        <v>0</v>
      </c>
      <c r="O28" s="1210">
        <v>721500</v>
      </c>
      <c r="P28" s="1224">
        <v>721500</v>
      </c>
      <c r="Q28" s="1224">
        <v>721500</v>
      </c>
      <c r="R28" s="207"/>
      <c r="S28" s="38">
        <v>3903250</v>
      </c>
      <c r="T28" s="1100">
        <v>2886000</v>
      </c>
      <c r="U28" s="1229">
        <v>6789250</v>
      </c>
    </row>
    <row r="29" spans="1:35" s="1091" customFormat="1" ht="15.75" x14ac:dyDescent="0.25">
      <c r="A29" s="1199"/>
      <c r="C29" s="1112" t="s">
        <v>77</v>
      </c>
      <c r="D29" s="1095">
        <v>10165</v>
      </c>
      <c r="E29" s="1095">
        <v>4066</v>
      </c>
      <c r="F29" s="1097">
        <v>4066</v>
      </c>
      <c r="G29" s="1094"/>
      <c r="H29" s="1095"/>
      <c r="I29" s="1095"/>
      <c r="J29" s="1095"/>
      <c r="K29" s="1095"/>
      <c r="L29" s="1095"/>
      <c r="M29" s="1260">
        <v>0</v>
      </c>
      <c r="N29" s="1096">
        <v>0</v>
      </c>
      <c r="O29" s="1210"/>
      <c r="P29" s="1224">
        <v>2033</v>
      </c>
      <c r="Q29" s="1247"/>
      <c r="R29" s="207"/>
      <c r="S29" s="38">
        <v>6099</v>
      </c>
      <c r="T29" s="1100">
        <v>4066</v>
      </c>
      <c r="U29" s="1229">
        <v>10165</v>
      </c>
    </row>
    <row r="30" spans="1:35" s="1091" customFormat="1" ht="15.75" x14ac:dyDescent="0.25">
      <c r="A30" s="1199"/>
      <c r="C30" s="1112" t="s">
        <v>78</v>
      </c>
      <c r="D30" s="1095">
        <v>902000</v>
      </c>
      <c r="E30" s="1095">
        <v>328000</v>
      </c>
      <c r="F30" s="1097">
        <v>410000</v>
      </c>
      <c r="G30" s="1094">
        <v>82000</v>
      </c>
      <c r="H30" s="1095">
        <v>82000</v>
      </c>
      <c r="I30" s="1095">
        <v>82000</v>
      </c>
      <c r="J30" s="1095">
        <v>82000</v>
      </c>
      <c r="K30" s="1095">
        <v>82000</v>
      </c>
      <c r="L30" s="1095">
        <v>164000</v>
      </c>
      <c r="M30" s="1260">
        <v>328000</v>
      </c>
      <c r="N30" s="1096">
        <v>574000</v>
      </c>
      <c r="O30" s="1210">
        <v>82000</v>
      </c>
      <c r="P30" s="1224">
        <v>82000</v>
      </c>
      <c r="Q30" s="1247">
        <v>82000</v>
      </c>
      <c r="R30" s="207"/>
      <c r="S30" s="38">
        <v>574000</v>
      </c>
      <c r="T30" s="1100">
        <v>328000</v>
      </c>
      <c r="U30" s="1229">
        <v>984000</v>
      </c>
    </row>
    <row r="31" spans="1:35" s="1091" customFormat="1" ht="15" customHeight="1" x14ac:dyDescent="0.25">
      <c r="A31" s="1199"/>
      <c r="C31" s="1112" t="s">
        <v>79</v>
      </c>
      <c r="D31" s="1095">
        <v>165510.34</v>
      </c>
      <c r="E31" s="1095">
        <v>45510.34</v>
      </c>
      <c r="F31" s="1097">
        <v>80544.060000000056</v>
      </c>
      <c r="G31" s="1094">
        <v>18094</v>
      </c>
      <c r="H31" s="1095">
        <v>15000</v>
      </c>
      <c r="I31" s="1095">
        <v>15000</v>
      </c>
      <c r="J31" s="1095">
        <v>15000</v>
      </c>
      <c r="K31" s="1095">
        <v>15000</v>
      </c>
      <c r="L31" s="1095">
        <v>41906</v>
      </c>
      <c r="M31" s="1260">
        <v>71906</v>
      </c>
      <c r="N31" s="1096">
        <v>120000</v>
      </c>
      <c r="O31" s="1210">
        <v>18094</v>
      </c>
      <c r="P31" s="1224">
        <v>13266.36</v>
      </c>
      <c r="Q31" s="1247">
        <v>8095</v>
      </c>
      <c r="R31" s="207"/>
      <c r="S31" s="38">
        <v>84965.7</v>
      </c>
      <c r="T31" s="1100">
        <v>80544.639999999999</v>
      </c>
      <c r="U31" s="1229">
        <v>165509.76000000007</v>
      </c>
      <c r="V31" s="1173"/>
    </row>
    <row r="32" spans="1:35" s="1091" customFormat="1" ht="15.75" x14ac:dyDescent="0.25">
      <c r="A32" s="1199"/>
      <c r="C32" s="1112" t="s">
        <v>80</v>
      </c>
      <c r="D32" s="1095">
        <v>53630</v>
      </c>
      <c r="E32" s="1095">
        <v>21990</v>
      </c>
      <c r="F32" s="1097">
        <v>24890</v>
      </c>
      <c r="G32" s="1094">
        <v>5000</v>
      </c>
      <c r="H32" s="1095">
        <v>5000</v>
      </c>
      <c r="I32" s="1095">
        <v>5000</v>
      </c>
      <c r="J32" s="1095">
        <v>5000</v>
      </c>
      <c r="K32" s="1095">
        <v>5000</v>
      </c>
      <c r="L32" s="1095">
        <v>6640</v>
      </c>
      <c r="M32" s="1260">
        <v>16640</v>
      </c>
      <c r="N32" s="1096">
        <v>31640</v>
      </c>
      <c r="O32" s="1210">
        <v>4050</v>
      </c>
      <c r="P32" s="1224">
        <v>2700</v>
      </c>
      <c r="Q32" s="1247"/>
      <c r="R32" s="207"/>
      <c r="S32" s="38">
        <v>28740</v>
      </c>
      <c r="T32" s="1100">
        <v>24890</v>
      </c>
      <c r="U32" s="1229">
        <v>53630</v>
      </c>
      <c r="V32" s="1173"/>
    </row>
    <row r="33" spans="1:35" s="1071" customFormat="1" ht="15.75" x14ac:dyDescent="0.25">
      <c r="A33" s="1198"/>
      <c r="B33" s="1084" t="s">
        <v>457</v>
      </c>
      <c r="C33" s="1085"/>
      <c r="D33" s="1086">
        <v>4679360</v>
      </c>
      <c r="E33" s="1086">
        <v>1564730.54</v>
      </c>
      <c r="F33" s="1087">
        <v>1401890</v>
      </c>
      <c r="G33" s="1088">
        <v>246826</v>
      </c>
      <c r="H33" s="1086">
        <v>82077</v>
      </c>
      <c r="I33" s="1086">
        <v>7077</v>
      </c>
      <c r="J33" s="1086">
        <v>421417</v>
      </c>
      <c r="K33" s="1086">
        <v>564911</v>
      </c>
      <c r="L33" s="1086">
        <v>733064</v>
      </c>
      <c r="M33" s="1259">
        <v>1719392</v>
      </c>
      <c r="N33" s="1089">
        <v>2055372</v>
      </c>
      <c r="O33" s="1209">
        <v>342873</v>
      </c>
      <c r="P33" s="1223">
        <v>599439</v>
      </c>
      <c r="Q33" s="1246">
        <v>382219</v>
      </c>
      <c r="R33" s="1204">
        <v>0</v>
      </c>
      <c r="S33" s="1155">
        <v>2889261.54</v>
      </c>
      <c r="T33" s="1162">
        <v>1790098.46</v>
      </c>
      <c r="U33" s="1227">
        <v>4291151.54</v>
      </c>
      <c r="V33" s="1167"/>
      <c r="W33" s="1126"/>
      <c r="X33" s="1126"/>
      <c r="Y33" s="1126"/>
      <c r="Z33" s="1126"/>
      <c r="AA33" s="1126"/>
      <c r="AB33" s="1126"/>
      <c r="AC33" s="1126"/>
      <c r="AD33" s="1126"/>
      <c r="AE33" s="1126"/>
      <c r="AF33" s="1126"/>
      <c r="AG33" s="1126"/>
      <c r="AH33" s="1126"/>
      <c r="AI33" s="1126"/>
    </row>
    <row r="34" spans="1:35" s="1091" customFormat="1" ht="15.75" x14ac:dyDescent="0.25">
      <c r="A34" s="1199"/>
      <c r="C34" s="1112" t="s">
        <v>42</v>
      </c>
      <c r="D34" s="1095">
        <v>2892520</v>
      </c>
      <c r="E34" s="1095">
        <v>1148000</v>
      </c>
      <c r="F34" s="1097">
        <v>1023180</v>
      </c>
      <c r="G34" s="1094"/>
      <c r="H34" s="1095"/>
      <c r="I34" s="1095"/>
      <c r="J34" s="1095">
        <v>255420</v>
      </c>
      <c r="K34" s="1095">
        <v>255420</v>
      </c>
      <c r="L34" s="1095">
        <v>510840</v>
      </c>
      <c r="M34" s="1260">
        <v>1021680</v>
      </c>
      <c r="N34" s="1096">
        <v>1021680</v>
      </c>
      <c r="O34" s="1210">
        <v>212000</v>
      </c>
      <c r="P34" s="1224">
        <v>255420</v>
      </c>
      <c r="Q34" s="1247">
        <v>255420</v>
      </c>
      <c r="R34" s="207"/>
      <c r="S34" s="38">
        <v>1870840</v>
      </c>
      <c r="T34" s="1100">
        <v>1021680</v>
      </c>
      <c r="U34" s="1229">
        <v>2894020</v>
      </c>
      <c r="V34" s="1173"/>
    </row>
    <row r="35" spans="1:35" s="1091" customFormat="1" ht="15.75" x14ac:dyDescent="0.25">
      <c r="A35" s="1199"/>
      <c r="C35" s="1174" t="s">
        <v>59</v>
      </c>
      <c r="D35" s="1095">
        <v>580200</v>
      </c>
      <c r="E35" s="1175">
        <v>225000</v>
      </c>
      <c r="F35" s="1176">
        <v>206800</v>
      </c>
      <c r="G35" s="1094"/>
      <c r="H35" s="1095"/>
      <c r="I35" s="1095"/>
      <c r="J35" s="1095">
        <v>50740</v>
      </c>
      <c r="K35" s="1095">
        <v>50740</v>
      </c>
      <c r="L35" s="1095">
        <v>101480</v>
      </c>
      <c r="M35" s="1260">
        <v>202960</v>
      </c>
      <c r="N35" s="1096">
        <v>202960</v>
      </c>
      <c r="O35" s="1210">
        <v>45000</v>
      </c>
      <c r="P35" s="1224">
        <v>51700</v>
      </c>
      <c r="Q35" s="1247">
        <v>51700</v>
      </c>
      <c r="R35" s="207"/>
      <c r="S35" s="38">
        <v>373400</v>
      </c>
      <c r="T35" s="1100">
        <v>206800</v>
      </c>
      <c r="U35" s="1229">
        <v>580200</v>
      </c>
    </row>
    <row r="36" spans="1:35" s="1091" customFormat="1" ht="15.75" x14ac:dyDescent="0.25">
      <c r="A36" s="1199"/>
      <c r="C36" s="1112" t="s">
        <v>60</v>
      </c>
      <c r="D36" s="1095">
        <v>446640</v>
      </c>
      <c r="E36" s="1095">
        <v>180000</v>
      </c>
      <c r="F36" s="1097">
        <v>153920</v>
      </c>
      <c r="G36" s="1094"/>
      <c r="H36" s="1095"/>
      <c r="I36" s="1095"/>
      <c r="J36" s="1095">
        <v>38180</v>
      </c>
      <c r="K36" s="1095">
        <v>38180</v>
      </c>
      <c r="L36" s="1095">
        <v>75740</v>
      </c>
      <c r="M36" s="1260">
        <v>152100</v>
      </c>
      <c r="N36" s="1096">
        <v>152100</v>
      </c>
      <c r="O36" s="1210">
        <v>36000</v>
      </c>
      <c r="P36" s="1224">
        <v>38860</v>
      </c>
      <c r="Q36" s="1247">
        <v>37859</v>
      </c>
      <c r="R36" s="207"/>
      <c r="S36" s="38">
        <v>292719</v>
      </c>
      <c r="T36" s="1100">
        <v>153921</v>
      </c>
      <c r="U36" s="1229">
        <v>446639</v>
      </c>
      <c r="V36" s="1173"/>
    </row>
    <row r="37" spans="1:35" s="1091" customFormat="1" ht="15.75" x14ac:dyDescent="0.25">
      <c r="A37" s="1199"/>
      <c r="C37" s="1112" t="s">
        <v>327</v>
      </c>
      <c r="D37" s="1224">
        <v>2000</v>
      </c>
      <c r="E37" s="1095">
        <v>215</v>
      </c>
      <c r="F37" s="1097">
        <v>0</v>
      </c>
      <c r="G37" s="1094"/>
      <c r="H37" s="1095">
        <v>2757</v>
      </c>
      <c r="I37" s="1095">
        <v>2757</v>
      </c>
      <c r="J37" s="1095">
        <v>2757</v>
      </c>
      <c r="K37" s="1095">
        <v>2757</v>
      </c>
      <c r="L37" s="1095">
        <v>2757</v>
      </c>
      <c r="M37" s="1260">
        <v>8271</v>
      </c>
      <c r="N37" s="1096">
        <v>13785</v>
      </c>
      <c r="O37" s="1210"/>
      <c r="P37" s="1224"/>
      <c r="Q37" s="1247">
        <v>100</v>
      </c>
      <c r="R37" s="207"/>
      <c r="S37" s="38">
        <v>315</v>
      </c>
      <c r="T37" s="1100">
        <v>1685</v>
      </c>
      <c r="U37" s="1229">
        <v>315</v>
      </c>
    </row>
    <row r="38" spans="1:35" s="1091" customFormat="1" ht="15.75" x14ac:dyDescent="0.25">
      <c r="A38" s="1199"/>
      <c r="C38" s="1112" t="s">
        <v>328</v>
      </c>
      <c r="D38" s="1095">
        <v>32000</v>
      </c>
      <c r="E38" s="1095">
        <v>6070</v>
      </c>
      <c r="F38" s="1097">
        <v>17990</v>
      </c>
      <c r="G38" s="1094">
        <v>4320</v>
      </c>
      <c r="H38" s="1095">
        <v>4320</v>
      </c>
      <c r="I38" s="1095">
        <v>4320</v>
      </c>
      <c r="J38" s="1095">
        <v>4320</v>
      </c>
      <c r="K38" s="1095">
        <v>4320</v>
      </c>
      <c r="L38" s="1095">
        <v>4330</v>
      </c>
      <c r="M38" s="1260">
        <v>12970</v>
      </c>
      <c r="N38" s="1096">
        <v>25930</v>
      </c>
      <c r="O38" s="1210"/>
      <c r="P38" s="1224">
        <v>4800</v>
      </c>
      <c r="Q38" s="1247">
        <v>3140</v>
      </c>
      <c r="R38" s="207"/>
      <c r="S38" s="38">
        <v>14010</v>
      </c>
      <c r="T38" s="1100">
        <v>17990</v>
      </c>
      <c r="U38" s="1229">
        <v>32000</v>
      </c>
    </row>
    <row r="39" spans="1:35" s="1091" customFormat="1" ht="15.75" x14ac:dyDescent="0.25">
      <c r="A39" s="1200" t="s">
        <v>458</v>
      </c>
      <c r="C39" s="1177" t="s">
        <v>486</v>
      </c>
      <c r="D39" s="38">
        <v>296000</v>
      </c>
      <c r="E39" s="38">
        <v>5445.54</v>
      </c>
      <c r="F39" s="1098">
        <v>0</v>
      </c>
      <c r="G39" s="1094">
        <v>60000</v>
      </c>
      <c r="H39" s="1095">
        <v>75000</v>
      </c>
      <c r="I39" s="1095"/>
      <c r="J39" s="1095">
        <v>70000</v>
      </c>
      <c r="K39" s="1095"/>
      <c r="L39" s="1095">
        <v>37917</v>
      </c>
      <c r="M39" s="1260">
        <v>107917</v>
      </c>
      <c r="N39" s="1096">
        <v>242917</v>
      </c>
      <c r="O39" s="1210">
        <v>49873</v>
      </c>
      <c r="P39" s="1224">
        <v>66153</v>
      </c>
      <c r="Q39" s="1247"/>
      <c r="R39" s="207"/>
      <c r="S39" s="38">
        <v>121471.54000000001</v>
      </c>
      <c r="T39" s="1100">
        <v>174528.46</v>
      </c>
      <c r="U39" s="1229">
        <v>121471.54000000001</v>
      </c>
      <c r="V39" s="1128"/>
      <c r="W39" s="1128"/>
      <c r="X39" s="1128"/>
      <c r="Y39" s="1128"/>
      <c r="Z39" s="1128"/>
      <c r="AA39" s="1128"/>
      <c r="AB39" s="1128"/>
      <c r="AC39" s="1128"/>
      <c r="AD39" s="1128"/>
      <c r="AE39" s="1128"/>
      <c r="AF39" s="1128"/>
      <c r="AG39" s="1128"/>
      <c r="AH39" s="1128"/>
      <c r="AI39" s="1128"/>
    </row>
    <row r="40" spans="1:35" s="1091" customFormat="1" ht="15.75" x14ac:dyDescent="0.25">
      <c r="A40" s="1200" t="s">
        <v>458</v>
      </c>
      <c r="C40" s="1177" t="s">
        <v>487</v>
      </c>
      <c r="D40" s="38">
        <v>430000</v>
      </c>
      <c r="E40" s="38"/>
      <c r="F40" s="1098">
        <v>0</v>
      </c>
      <c r="G40" s="1094">
        <v>182506</v>
      </c>
      <c r="H40" s="1095"/>
      <c r="I40" s="1095"/>
      <c r="J40" s="1095"/>
      <c r="K40" s="1095">
        <f>213494-213494+353649</f>
        <v>353649</v>
      </c>
      <c r="L40" s="1095"/>
      <c r="M40" s="1260">
        <v>213494</v>
      </c>
      <c r="N40" s="1096">
        <v>396000</v>
      </c>
      <c r="O40" s="1210"/>
      <c r="P40" s="1224">
        <v>182506</v>
      </c>
      <c r="Q40" s="1247">
        <v>34000</v>
      </c>
      <c r="R40" s="207"/>
      <c r="S40" s="38">
        <v>216506</v>
      </c>
      <c r="T40" s="1100">
        <v>213494</v>
      </c>
      <c r="U40" s="1229">
        <v>216506</v>
      </c>
      <c r="V40" s="1128"/>
      <c r="W40" s="1128"/>
      <c r="X40" s="1128"/>
      <c r="Y40" s="1128"/>
      <c r="Z40" s="1128"/>
      <c r="AA40" s="1128"/>
      <c r="AB40" s="1128"/>
      <c r="AC40" s="1128"/>
      <c r="AD40" s="1128"/>
      <c r="AE40" s="1128"/>
      <c r="AF40" s="1128"/>
      <c r="AG40" s="1128"/>
      <c r="AH40" s="1128"/>
      <c r="AI40" s="1128"/>
    </row>
    <row r="41" spans="1:35" s="1071" customFormat="1" ht="15.75" x14ac:dyDescent="0.25">
      <c r="A41" s="1201" t="s">
        <v>459</v>
      </c>
      <c r="B41" s="1106"/>
      <c r="C41" s="1107"/>
      <c r="D41" s="1108">
        <v>5161158.76</v>
      </c>
      <c r="E41" s="1108">
        <v>1796665.69</v>
      </c>
      <c r="F41" s="1109">
        <v>1996722.5</v>
      </c>
      <c r="G41" s="1110">
        <v>107326</v>
      </c>
      <c r="H41" s="1108">
        <v>107315</v>
      </c>
      <c r="I41" s="1108">
        <v>107315</v>
      </c>
      <c r="J41" s="1108">
        <v>107315</v>
      </c>
      <c r="K41" s="1108">
        <v>107315</v>
      </c>
      <c r="L41" s="1108">
        <v>214647</v>
      </c>
      <c r="M41" s="1259">
        <v>429277</v>
      </c>
      <c r="N41" s="1111">
        <v>751233</v>
      </c>
      <c r="O41" s="1211">
        <v>456911.38</v>
      </c>
      <c r="P41" s="1216">
        <v>462755.26999999996</v>
      </c>
      <c r="Q41" s="1216">
        <v>448102</v>
      </c>
      <c r="R41" s="1206"/>
      <c r="S41" s="1159">
        <v>3164434.34</v>
      </c>
      <c r="T41" s="1218">
        <v>1996724.42</v>
      </c>
      <c r="U41" s="1126"/>
      <c r="V41" s="1126"/>
      <c r="W41" s="1126"/>
      <c r="X41" s="1126"/>
      <c r="Y41" s="1126"/>
      <c r="Z41" s="1126"/>
      <c r="AA41" s="1126"/>
      <c r="AB41" s="1126"/>
      <c r="AC41" s="1126"/>
      <c r="AD41" s="1126"/>
      <c r="AE41" s="1126"/>
      <c r="AF41" s="1126"/>
      <c r="AG41" s="1126"/>
      <c r="AH41" s="1126"/>
      <c r="AI41" s="1126"/>
    </row>
    <row r="42" spans="1:35" s="1091" customFormat="1" ht="15.75" x14ac:dyDescent="0.25">
      <c r="A42" s="1199"/>
      <c r="B42" s="1091" t="s">
        <v>460</v>
      </c>
      <c r="C42" s="1112"/>
      <c r="D42" s="1095">
        <v>855700</v>
      </c>
      <c r="E42" s="1095">
        <v>328309.27999999997</v>
      </c>
      <c r="F42" s="1097">
        <v>334035.70999999996</v>
      </c>
      <c r="G42" s="1094">
        <v>75340</v>
      </c>
      <c r="H42" s="1095">
        <v>75340</v>
      </c>
      <c r="I42" s="1095">
        <v>75340</v>
      </c>
      <c r="J42" s="1095">
        <v>75340</v>
      </c>
      <c r="K42" s="1095">
        <v>75340</v>
      </c>
      <c r="L42" s="1095">
        <v>150691</v>
      </c>
      <c r="M42" s="1260">
        <v>301371</v>
      </c>
      <c r="N42" s="1096">
        <v>527391</v>
      </c>
      <c r="O42" s="1210">
        <v>67917.899999999994</v>
      </c>
      <c r="P42" s="1224">
        <v>61809.67</v>
      </c>
      <c r="Q42" s="1247">
        <v>63627</v>
      </c>
      <c r="R42" s="207"/>
      <c r="S42" s="38">
        <v>521663.84999999992</v>
      </c>
      <c r="T42" s="1100">
        <v>334036.15000000008</v>
      </c>
      <c r="U42" s="1128"/>
    </row>
    <row r="43" spans="1:35" s="1091" customFormat="1" ht="15.75" x14ac:dyDescent="0.25">
      <c r="A43" s="1199"/>
      <c r="B43" s="1091" t="s">
        <v>461</v>
      </c>
      <c r="C43" s="1112"/>
      <c r="D43" s="1095">
        <v>49000</v>
      </c>
      <c r="E43" s="1095">
        <v>20232.350000000002</v>
      </c>
      <c r="F43" s="1097">
        <v>18720.349999999999</v>
      </c>
      <c r="G43" s="1094">
        <v>4110</v>
      </c>
      <c r="H43" s="1095">
        <v>4110</v>
      </c>
      <c r="I43" s="1095">
        <v>4110</v>
      </c>
      <c r="J43" s="1095">
        <v>4110</v>
      </c>
      <c r="K43" s="1095">
        <v>4110</v>
      </c>
      <c r="L43" s="1095">
        <v>8218</v>
      </c>
      <c r="M43" s="1260">
        <v>16438</v>
      </c>
      <c r="N43" s="1096">
        <v>28768</v>
      </c>
      <c r="O43" s="1210">
        <v>3346</v>
      </c>
      <c r="P43" s="1224">
        <v>6702</v>
      </c>
      <c r="Q43" s="1247"/>
      <c r="R43" s="207"/>
      <c r="S43" s="38">
        <v>30280.350000000002</v>
      </c>
      <c r="T43" s="1100">
        <v>18719.649999999998</v>
      </c>
      <c r="U43" s="1128"/>
    </row>
    <row r="44" spans="1:35" s="1091" customFormat="1" ht="15.75" x14ac:dyDescent="0.25">
      <c r="A44" s="1199"/>
      <c r="B44" s="1091" t="s">
        <v>462</v>
      </c>
      <c r="C44" s="1112"/>
      <c r="D44" s="1095">
        <v>122254</v>
      </c>
      <c r="E44" s="1095">
        <v>19840.61</v>
      </c>
      <c r="F44" s="1097">
        <v>90681.2</v>
      </c>
      <c r="G44" s="1094">
        <v>14630</v>
      </c>
      <c r="H44" s="1095">
        <v>14630</v>
      </c>
      <c r="I44" s="1095">
        <v>14630</v>
      </c>
      <c r="J44" s="1095">
        <v>14630</v>
      </c>
      <c r="K44" s="1095">
        <v>14630</v>
      </c>
      <c r="L44" s="1095">
        <v>29263</v>
      </c>
      <c r="M44" s="1260">
        <v>58523</v>
      </c>
      <c r="N44" s="1096">
        <v>102413</v>
      </c>
      <c r="O44" s="1210">
        <v>3951</v>
      </c>
      <c r="P44" s="1224">
        <v>3970.19</v>
      </c>
      <c r="Q44" s="75">
        <v>3810</v>
      </c>
      <c r="R44" s="207"/>
      <c r="S44" s="38">
        <v>31571.8</v>
      </c>
      <c r="T44" s="1100">
        <v>90682.2</v>
      </c>
      <c r="U44" s="1128"/>
    </row>
    <row r="45" spans="1:35" s="1091" customFormat="1" ht="15.75" x14ac:dyDescent="0.25">
      <c r="A45" s="1199"/>
      <c r="B45" s="1091" t="s">
        <v>463</v>
      </c>
      <c r="C45" s="1112"/>
      <c r="D45" s="1095">
        <v>49000</v>
      </c>
      <c r="E45" s="1095">
        <v>9684</v>
      </c>
      <c r="F45" s="1097">
        <v>28677</v>
      </c>
      <c r="G45" s="1094">
        <v>5626</v>
      </c>
      <c r="H45" s="1095">
        <v>5615</v>
      </c>
      <c r="I45" s="1095">
        <v>5615</v>
      </c>
      <c r="J45" s="1095">
        <v>5615</v>
      </c>
      <c r="K45" s="1095">
        <v>5615</v>
      </c>
      <c r="L45" s="1095">
        <v>11230</v>
      </c>
      <c r="M45" s="1260">
        <v>22460</v>
      </c>
      <c r="N45" s="1096">
        <v>39316</v>
      </c>
      <c r="O45" s="1210">
        <v>1027</v>
      </c>
      <c r="P45" s="1224">
        <v>9612</v>
      </c>
      <c r="Q45" s="1247"/>
      <c r="R45" s="207"/>
      <c r="S45" s="38">
        <v>20323</v>
      </c>
      <c r="T45" s="1100">
        <v>28677</v>
      </c>
      <c r="U45" s="1128"/>
    </row>
    <row r="46" spans="1:35" s="1091" customFormat="1" ht="15.75" x14ac:dyDescent="0.25">
      <c r="A46" s="1199"/>
      <c r="B46" s="1091" t="s">
        <v>464</v>
      </c>
      <c r="C46" s="1112"/>
      <c r="D46" s="1095">
        <v>3992919</v>
      </c>
      <c r="E46" s="1095">
        <v>1379658</v>
      </c>
      <c r="F46" s="1097">
        <v>1493292</v>
      </c>
      <c r="G46" s="1094"/>
      <c r="H46" s="1095"/>
      <c r="I46" s="1095"/>
      <c r="J46" s="1095"/>
      <c r="K46" s="1095"/>
      <c r="L46" s="1095"/>
      <c r="M46" s="1260">
        <v>0</v>
      </c>
      <c r="N46" s="1096">
        <v>0</v>
      </c>
      <c r="O46" s="1215">
        <v>373323</v>
      </c>
      <c r="P46" s="1224">
        <v>373323</v>
      </c>
      <c r="Q46" s="1214">
        <v>373323</v>
      </c>
      <c r="R46" s="207"/>
      <c r="S46" s="38">
        <v>2499627</v>
      </c>
      <c r="T46" s="1100">
        <v>1493292</v>
      </c>
      <c r="U46" s="1128"/>
    </row>
    <row r="47" spans="1:35" s="1091" customFormat="1" ht="15.75" x14ac:dyDescent="0.25">
      <c r="A47" s="1199"/>
      <c r="B47" s="1202" t="s">
        <v>465</v>
      </c>
      <c r="C47" s="1112"/>
      <c r="D47" s="1095">
        <v>13200</v>
      </c>
      <c r="E47" s="1095">
        <v>5989.05</v>
      </c>
      <c r="F47" s="1097">
        <v>4954.32</v>
      </c>
      <c r="G47" s="1094">
        <v>1030</v>
      </c>
      <c r="H47" s="1095">
        <v>1030</v>
      </c>
      <c r="I47" s="1095">
        <v>1030</v>
      </c>
      <c r="J47" s="1095">
        <v>1030</v>
      </c>
      <c r="K47" s="1095">
        <v>1030</v>
      </c>
      <c r="L47" s="1095">
        <v>2061</v>
      </c>
      <c r="M47" s="1260">
        <v>4121</v>
      </c>
      <c r="N47" s="1096">
        <v>7211</v>
      </c>
      <c r="O47" s="1210">
        <v>756</v>
      </c>
      <c r="P47" s="1224">
        <v>747.93</v>
      </c>
      <c r="Q47" s="1247">
        <v>752</v>
      </c>
      <c r="R47" s="207"/>
      <c r="S47" s="38">
        <v>8244.98</v>
      </c>
      <c r="T47" s="1100">
        <v>4955.0200000000004</v>
      </c>
      <c r="U47" s="1128"/>
    </row>
    <row r="48" spans="1:35" s="1091" customFormat="1" ht="15.75" x14ac:dyDescent="0.25">
      <c r="A48" s="1199"/>
      <c r="B48" s="1091" t="s">
        <v>466</v>
      </c>
      <c r="C48" s="1112"/>
      <c r="D48" s="1095">
        <v>79085.75999999998</v>
      </c>
      <c r="E48" s="1095">
        <v>32952.399999999987</v>
      </c>
      <c r="F48" s="1097">
        <v>26361.920000000006</v>
      </c>
      <c r="G48" s="1094">
        <v>6590</v>
      </c>
      <c r="H48" s="1095">
        <v>6590</v>
      </c>
      <c r="I48" s="1095">
        <v>6590</v>
      </c>
      <c r="J48" s="1095">
        <v>6590</v>
      </c>
      <c r="K48" s="1095">
        <v>6590</v>
      </c>
      <c r="L48" s="1095">
        <v>13184</v>
      </c>
      <c r="M48" s="1260">
        <v>26364</v>
      </c>
      <c r="N48" s="1096">
        <v>46134</v>
      </c>
      <c r="O48" s="1210">
        <v>6590.48</v>
      </c>
      <c r="P48" s="1224">
        <v>6590.48</v>
      </c>
      <c r="Q48" s="1247">
        <v>6590</v>
      </c>
      <c r="R48" s="207"/>
      <c r="S48" s="38">
        <v>52723.359999999986</v>
      </c>
      <c r="T48" s="1100">
        <v>26362.399999999994</v>
      </c>
      <c r="U48" s="1128"/>
    </row>
    <row r="49" spans="1:35" s="1071" customFormat="1" ht="15.75" x14ac:dyDescent="0.25">
      <c r="A49" s="1201" t="s">
        <v>467</v>
      </c>
      <c r="B49" s="1106"/>
      <c r="C49" s="1107"/>
      <c r="D49" s="1108">
        <v>4618218.99</v>
      </c>
      <c r="E49" s="1108">
        <v>884722.87999999989</v>
      </c>
      <c r="F49" s="1109">
        <v>132080.41999999998</v>
      </c>
      <c r="G49" s="1110">
        <v>297236</v>
      </c>
      <c r="H49" s="1108">
        <v>351901</v>
      </c>
      <c r="I49" s="1108">
        <v>835811</v>
      </c>
      <c r="J49" s="1108">
        <v>634711</v>
      </c>
      <c r="K49" s="1108">
        <v>870220</v>
      </c>
      <c r="L49" s="1108">
        <v>743618</v>
      </c>
      <c r="M49" s="1259">
        <v>2248549</v>
      </c>
      <c r="N49" s="1111">
        <v>3733497</v>
      </c>
      <c r="O49" s="1250">
        <v>348832</v>
      </c>
      <c r="P49" s="1245">
        <v>224529</v>
      </c>
      <c r="Q49" s="1216">
        <v>224909</v>
      </c>
      <c r="R49" s="1206"/>
      <c r="S49" s="1159">
        <v>1682992.88</v>
      </c>
      <c r="T49" s="1218">
        <v>2803145.69</v>
      </c>
      <c r="U49" s="1126"/>
      <c r="V49" s="1071" t="s">
        <v>515</v>
      </c>
      <c r="W49" s="1071" t="s">
        <v>516</v>
      </c>
    </row>
    <row r="50" spans="1:35" s="1091" customFormat="1" ht="15.75" x14ac:dyDescent="0.25">
      <c r="A50" s="1199"/>
      <c r="B50" s="1091" t="s">
        <v>468</v>
      </c>
      <c r="C50" s="1112"/>
      <c r="D50" s="1095">
        <v>433000</v>
      </c>
      <c r="E50" s="1095">
        <v>106847.8</v>
      </c>
      <c r="F50" s="1097">
        <v>0</v>
      </c>
      <c r="G50" s="1094"/>
      <c r="H50" s="1095"/>
      <c r="I50" s="1095">
        <v>70000</v>
      </c>
      <c r="J50" s="1095"/>
      <c r="K50" s="1095"/>
      <c r="L50" s="1095">
        <v>256152</v>
      </c>
      <c r="M50" s="1260">
        <v>256152</v>
      </c>
      <c r="N50" s="1096">
        <v>326152</v>
      </c>
      <c r="O50" s="1210">
        <v>1060</v>
      </c>
      <c r="P50" s="1224"/>
      <c r="Q50" s="1247">
        <v>70694</v>
      </c>
      <c r="R50" s="207"/>
      <c r="S50" s="38">
        <v>178601.8</v>
      </c>
      <c r="T50" s="1100">
        <v>254398.2</v>
      </c>
      <c r="U50" s="1128"/>
      <c r="V50" s="1253">
        <v>432999.8</v>
      </c>
      <c r="W50" s="1173">
        <v>0.20000000001164153</v>
      </c>
    </row>
    <row r="51" spans="1:35" s="1091" customFormat="1" ht="15.75" x14ac:dyDescent="0.25">
      <c r="A51" s="1199"/>
      <c r="B51" s="1091" t="s">
        <v>469</v>
      </c>
      <c r="C51" s="1112"/>
      <c r="D51" s="1170">
        <v>779858</v>
      </c>
      <c r="E51" s="1170">
        <v>94521.150000000009</v>
      </c>
      <c r="F51" s="1171">
        <v>64420.42</v>
      </c>
      <c r="G51" s="1172">
        <v>60000</v>
      </c>
      <c r="H51" s="1170">
        <v>49311</v>
      </c>
      <c r="I51" s="1170">
        <v>93494</v>
      </c>
      <c r="J51" s="1170">
        <v>150000</v>
      </c>
      <c r="K51" s="1170">
        <v>150000</v>
      </c>
      <c r="L51" s="1170">
        <v>182532</v>
      </c>
      <c r="M51" s="1260">
        <v>482532</v>
      </c>
      <c r="N51" s="1096">
        <v>685337</v>
      </c>
      <c r="O51" s="1210">
        <v>53052</v>
      </c>
      <c r="P51" s="1224">
        <v>93899</v>
      </c>
      <c r="Q51" s="1247">
        <v>3753</v>
      </c>
      <c r="R51" s="207"/>
      <c r="S51" s="38">
        <v>245225.15000000002</v>
      </c>
      <c r="T51" s="1100">
        <v>470212.43</v>
      </c>
      <c r="U51" s="1229" t="s">
        <v>494</v>
      </c>
      <c r="V51" s="1173">
        <v>779858.15</v>
      </c>
      <c r="W51" s="1173">
        <v>-0.15000000002328306</v>
      </c>
      <c r="Z51" s="1173">
        <v>263560</v>
      </c>
    </row>
    <row r="52" spans="1:35" s="1091" customFormat="1" ht="15.75" x14ac:dyDescent="0.25">
      <c r="A52" s="1199"/>
      <c r="B52" s="1091" t="s">
        <v>470</v>
      </c>
      <c r="C52" s="1112"/>
      <c r="D52" s="1095">
        <v>16004.990000000002</v>
      </c>
      <c r="E52" s="1095">
        <v>7004.9900000000007</v>
      </c>
      <c r="F52" s="1097">
        <v>0</v>
      </c>
      <c r="G52" s="1094">
        <v>1500</v>
      </c>
      <c r="H52" s="1095">
        <v>1500</v>
      </c>
      <c r="I52" s="1095">
        <v>1500</v>
      </c>
      <c r="J52" s="1095">
        <v>1500</v>
      </c>
      <c r="K52" s="1095">
        <v>1500</v>
      </c>
      <c r="L52" s="1095">
        <v>1500</v>
      </c>
      <c r="M52" s="1260">
        <v>4500</v>
      </c>
      <c r="N52" s="1096">
        <v>9000</v>
      </c>
      <c r="O52" s="1210">
        <v>1922</v>
      </c>
      <c r="P52" s="1224">
        <v>1441</v>
      </c>
      <c r="Q52" s="1224">
        <v>1441</v>
      </c>
      <c r="R52" s="207"/>
      <c r="S52" s="38">
        <v>11808.990000000002</v>
      </c>
      <c r="T52" s="1100">
        <v>4196</v>
      </c>
      <c r="U52" s="1128"/>
      <c r="V52" s="1173">
        <v>16004.990000000002</v>
      </c>
      <c r="W52" s="1173">
        <v>0</v>
      </c>
    </row>
    <row r="53" spans="1:35" s="1091" customFormat="1" ht="15.75" x14ac:dyDescent="0.25">
      <c r="A53" s="1199"/>
      <c r="B53" s="1091" t="s">
        <v>471</v>
      </c>
      <c r="C53" s="1112"/>
      <c r="D53" s="1095">
        <v>470019</v>
      </c>
      <c r="E53" s="1095">
        <v>17274.990000000002</v>
      </c>
      <c r="F53" s="1097">
        <v>67660</v>
      </c>
      <c r="G53" s="1094">
        <v>19120</v>
      </c>
      <c r="H53" s="1095">
        <v>25440</v>
      </c>
      <c r="I53" s="1095">
        <v>54900</v>
      </c>
      <c r="J53" s="1095">
        <v>206120</v>
      </c>
      <c r="K53" s="1095">
        <v>117570</v>
      </c>
      <c r="L53" s="1095">
        <v>29594</v>
      </c>
      <c r="M53" s="1260">
        <v>353284</v>
      </c>
      <c r="N53" s="1096">
        <v>452744</v>
      </c>
      <c r="O53" s="1210">
        <v>30771</v>
      </c>
      <c r="P53" s="1224">
        <v>3470</v>
      </c>
      <c r="Q53" s="1247">
        <v>44666</v>
      </c>
      <c r="R53" s="207"/>
      <c r="S53" s="38">
        <v>96181.99</v>
      </c>
      <c r="T53" s="1100">
        <v>306177.01</v>
      </c>
      <c r="U53" s="1128"/>
      <c r="V53" s="1173">
        <v>470018.99</v>
      </c>
      <c r="W53" s="1173">
        <v>1.0000000009313226E-2</v>
      </c>
    </row>
    <row r="54" spans="1:35" s="1091" customFormat="1" ht="15.75" x14ac:dyDescent="0.25">
      <c r="A54" s="1199"/>
      <c r="B54" s="1091" t="s">
        <v>472</v>
      </c>
      <c r="C54" s="1112"/>
      <c r="D54" s="1095">
        <v>6166</v>
      </c>
      <c r="E54" s="1095">
        <v>3221.24</v>
      </c>
      <c r="F54" s="1097">
        <v>0</v>
      </c>
      <c r="G54" s="1094"/>
      <c r="H54" s="1095">
        <v>500</v>
      </c>
      <c r="I54" s="1095">
        <v>500</v>
      </c>
      <c r="J54" s="1095">
        <v>500</v>
      </c>
      <c r="K54" s="1095">
        <v>500</v>
      </c>
      <c r="L54" s="1095">
        <v>945</v>
      </c>
      <c r="M54" s="1260">
        <v>1945</v>
      </c>
      <c r="N54" s="1096">
        <v>2945</v>
      </c>
      <c r="O54" s="1210">
        <v>926</v>
      </c>
      <c r="P54" s="1224">
        <v>480</v>
      </c>
      <c r="Q54" s="1247">
        <v>1005</v>
      </c>
      <c r="R54" s="207"/>
      <c r="S54" s="38">
        <v>5632.24</v>
      </c>
      <c r="T54" s="1100">
        <v>533.76000000000022</v>
      </c>
      <c r="U54" s="1128"/>
      <c r="V54" s="1173">
        <v>6166.24</v>
      </c>
      <c r="W54" s="1173">
        <v>-0.23999999999978172</v>
      </c>
    </row>
    <row r="55" spans="1:35" s="1091" customFormat="1" ht="14.25" customHeight="1" x14ac:dyDescent="0.25">
      <c r="A55" s="1199"/>
      <c r="B55" s="1091" t="s">
        <v>473</v>
      </c>
      <c r="C55" s="1112"/>
      <c r="D55" s="1095">
        <v>883200</v>
      </c>
      <c r="E55" s="1095">
        <v>185410</v>
      </c>
      <c r="F55" s="1097">
        <v>0</v>
      </c>
      <c r="G55" s="1094"/>
      <c r="H55" s="1095">
        <v>157500</v>
      </c>
      <c r="I55" s="1095">
        <v>220000</v>
      </c>
      <c r="J55" s="1095">
        <v>55000</v>
      </c>
      <c r="K55" s="1095">
        <v>120300</v>
      </c>
      <c r="L55" s="1095">
        <v>144990</v>
      </c>
      <c r="M55" s="1260">
        <v>320290</v>
      </c>
      <c r="N55" s="1096">
        <v>697790</v>
      </c>
      <c r="O55" s="1210"/>
      <c r="P55" s="1224">
        <v>89409</v>
      </c>
      <c r="Q55" s="1247">
        <v>800</v>
      </c>
      <c r="R55" s="207"/>
      <c r="S55" s="38">
        <v>275619</v>
      </c>
      <c r="T55" s="1100">
        <v>607581</v>
      </c>
      <c r="U55" s="1128"/>
      <c r="V55" s="1173">
        <v>883200</v>
      </c>
      <c r="W55" s="1173">
        <v>0</v>
      </c>
    </row>
    <row r="56" spans="1:35" s="1091" customFormat="1" ht="18" customHeight="1" x14ac:dyDescent="0.25">
      <c r="A56" s="1199"/>
      <c r="B56" s="1091" t="s">
        <v>474</v>
      </c>
      <c r="C56" s="1112"/>
      <c r="D56" s="1095">
        <v>778900</v>
      </c>
      <c r="E56" s="1095">
        <v>185399</v>
      </c>
      <c r="F56" s="1097">
        <v>0</v>
      </c>
      <c r="G56" s="1094">
        <v>41600</v>
      </c>
      <c r="H56" s="1095">
        <v>56150</v>
      </c>
      <c r="I56" s="1095">
        <v>175725</v>
      </c>
      <c r="J56" s="1095">
        <v>78598</v>
      </c>
      <c r="K56" s="1095">
        <v>183250</v>
      </c>
      <c r="L56" s="1095">
        <v>58178</v>
      </c>
      <c r="M56" s="1260">
        <v>320026</v>
      </c>
      <c r="N56" s="1096">
        <v>593501</v>
      </c>
      <c r="O56" s="1210">
        <v>38400</v>
      </c>
      <c r="P56" s="1224">
        <v>20940</v>
      </c>
      <c r="Q56" s="1247">
        <v>21156</v>
      </c>
      <c r="R56" s="207"/>
      <c r="S56" s="38">
        <v>265895</v>
      </c>
      <c r="T56" s="1100">
        <v>513005</v>
      </c>
      <c r="U56" s="1128"/>
      <c r="V56" s="1173">
        <v>778900</v>
      </c>
      <c r="W56" s="1173">
        <v>0</v>
      </c>
    </row>
    <row r="57" spans="1:35" s="1091" customFormat="1" ht="15.75" x14ac:dyDescent="0.25">
      <c r="A57" s="1199"/>
      <c r="B57" s="1091" t="s">
        <v>475</v>
      </c>
      <c r="C57" s="1112"/>
      <c r="D57" s="1095">
        <v>226250</v>
      </c>
      <c r="E57" s="1095">
        <v>31948.739999999998</v>
      </c>
      <c r="F57" s="1097">
        <v>0</v>
      </c>
      <c r="G57" s="1094">
        <v>31000</v>
      </c>
      <c r="H57" s="1095">
        <v>31000</v>
      </c>
      <c r="I57" s="1095">
        <v>46000</v>
      </c>
      <c r="J57" s="1095">
        <v>31000</v>
      </c>
      <c r="K57" s="1095">
        <v>26500</v>
      </c>
      <c r="L57" s="1095">
        <v>28801</v>
      </c>
      <c r="M57" s="1260">
        <v>86301</v>
      </c>
      <c r="N57" s="1096">
        <v>194301</v>
      </c>
      <c r="O57" s="1210">
        <v>1985</v>
      </c>
      <c r="P57" s="1224"/>
      <c r="Q57" s="1247">
        <v>3102</v>
      </c>
      <c r="R57" s="207"/>
      <c r="S57" s="38">
        <v>37035.74</v>
      </c>
      <c r="T57" s="1100">
        <v>189214.26</v>
      </c>
      <c r="U57" s="1128"/>
      <c r="V57" s="1173">
        <v>226249.74</v>
      </c>
      <c r="W57" s="1173">
        <v>0.26000000000931323</v>
      </c>
    </row>
    <row r="58" spans="1:35" s="1091" customFormat="1" ht="15.75" x14ac:dyDescent="0.25">
      <c r="A58" s="1199"/>
      <c r="B58" s="1091" t="s">
        <v>476</v>
      </c>
      <c r="C58" s="1112"/>
      <c r="D58" s="1095">
        <v>376700</v>
      </c>
      <c r="E58" s="1095">
        <v>35842.49</v>
      </c>
      <c r="F58" s="1097">
        <v>0</v>
      </c>
      <c r="G58" s="1094">
        <v>100500</v>
      </c>
      <c r="H58" s="1095">
        <v>30500</v>
      </c>
      <c r="I58" s="1095">
        <v>46792</v>
      </c>
      <c r="J58" s="1095">
        <v>85300</v>
      </c>
      <c r="K58" s="1095">
        <v>71000</v>
      </c>
      <c r="L58" s="1095">
        <v>6766</v>
      </c>
      <c r="M58" s="1260">
        <v>163066</v>
      </c>
      <c r="N58" s="1096">
        <v>340858</v>
      </c>
      <c r="O58" s="1210">
        <v>72890</v>
      </c>
      <c r="P58" s="1224">
        <v>14890</v>
      </c>
      <c r="Q58" s="1247">
        <v>480</v>
      </c>
      <c r="R58" s="207"/>
      <c r="S58" s="38">
        <v>124102.48999999999</v>
      </c>
      <c r="T58" s="1100">
        <v>252597.51</v>
      </c>
      <c r="U58" s="1128"/>
      <c r="V58" s="1173">
        <v>376700.49</v>
      </c>
      <c r="W58" s="1173">
        <v>-0.48999999999068677</v>
      </c>
    </row>
    <row r="59" spans="1:35" s="1091" customFormat="1" ht="15.75" x14ac:dyDescent="0.25">
      <c r="A59" s="1199"/>
      <c r="B59" s="1091" t="s">
        <v>477</v>
      </c>
      <c r="C59" s="1112"/>
      <c r="D59" s="1255">
        <v>297671</v>
      </c>
      <c r="E59" s="1095">
        <v>50802.48</v>
      </c>
      <c r="F59" s="1097">
        <v>0</v>
      </c>
      <c r="G59" s="1094">
        <v>43516</v>
      </c>
      <c r="H59" s="1095"/>
      <c r="I59" s="1095">
        <v>92900</v>
      </c>
      <c r="J59" s="1095">
        <v>26693</v>
      </c>
      <c r="K59" s="1095">
        <v>49600</v>
      </c>
      <c r="L59" s="1095">
        <v>34160</v>
      </c>
      <c r="M59" s="1260">
        <v>110453</v>
      </c>
      <c r="N59" s="1096">
        <v>246869</v>
      </c>
      <c r="O59" s="1210">
        <v>147826</v>
      </c>
      <c r="P59" s="1224"/>
      <c r="Q59" s="1247">
        <v>10844</v>
      </c>
      <c r="R59" s="207"/>
      <c r="S59" s="38">
        <v>209472.48</v>
      </c>
      <c r="T59" s="1100">
        <v>88198.51999999999</v>
      </c>
      <c r="U59" s="1128"/>
      <c r="V59" s="1173">
        <v>297671.48</v>
      </c>
      <c r="W59" s="1173">
        <v>-0.47999999998137355</v>
      </c>
    </row>
    <row r="60" spans="1:35" s="1091" customFormat="1" ht="16.5" thickBot="1" x14ac:dyDescent="0.3">
      <c r="A60" s="1199"/>
      <c r="B60" s="1091" t="s">
        <v>478</v>
      </c>
      <c r="C60" s="1112"/>
      <c r="D60" s="1095">
        <v>350450</v>
      </c>
      <c r="E60" s="1095">
        <v>166450</v>
      </c>
      <c r="F60" s="1097">
        <v>0</v>
      </c>
      <c r="G60" s="1094"/>
      <c r="H60" s="1095"/>
      <c r="I60" s="1095">
        <v>34000</v>
      </c>
      <c r="J60" s="1095"/>
      <c r="K60" s="1095">
        <v>150000</v>
      </c>
      <c r="L60" s="1095"/>
      <c r="M60" s="1260">
        <v>150000</v>
      </c>
      <c r="N60" s="1096">
        <v>184000</v>
      </c>
      <c r="O60" s="1212"/>
      <c r="P60" s="1225"/>
      <c r="Q60" s="1248">
        <v>66968</v>
      </c>
      <c r="R60" s="1219"/>
      <c r="S60" s="38">
        <v>233418</v>
      </c>
      <c r="T60" s="1220">
        <v>117032</v>
      </c>
      <c r="U60" s="1128"/>
      <c r="V60" s="1173">
        <v>350450</v>
      </c>
      <c r="W60" s="1173">
        <v>0</v>
      </c>
    </row>
    <row r="61" spans="1:35" s="1071" customFormat="1" ht="17.25" thickTop="1" thickBot="1" x14ac:dyDescent="0.3">
      <c r="A61" s="3145" t="s">
        <v>28</v>
      </c>
      <c r="B61" s="3146"/>
      <c r="C61" s="3147"/>
      <c r="D61" s="1179">
        <v>22379293.09</v>
      </c>
      <c r="E61" s="1179">
        <v>6384435.4499999993</v>
      </c>
      <c r="F61" s="1180">
        <v>6936192.9800000004</v>
      </c>
      <c r="G61" s="1118">
        <v>756482</v>
      </c>
      <c r="H61" s="1116">
        <v>643293</v>
      </c>
      <c r="I61" s="1116">
        <v>1052203</v>
      </c>
      <c r="J61" s="1116">
        <v>1265443</v>
      </c>
      <c r="K61" s="1116">
        <v>1644446</v>
      </c>
      <c r="L61" s="1116">
        <v>1903875</v>
      </c>
      <c r="M61" s="1116">
        <v>4813764</v>
      </c>
      <c r="N61" s="1117">
        <v>7265742</v>
      </c>
      <c r="O61" s="1213">
        <v>1974260.38</v>
      </c>
      <c r="P61" s="1213">
        <v>2108222.63</v>
      </c>
      <c r="Q61" s="1213">
        <v>1866825</v>
      </c>
      <c r="R61" s="1221"/>
      <c r="S61" s="1221">
        <v>12333743.460000001</v>
      </c>
      <c r="T61" s="1221">
        <v>9913469.209999999</v>
      </c>
      <c r="U61" s="1126"/>
      <c r="V61" s="1173">
        <v>13650177.449999999</v>
      </c>
      <c r="W61" s="1254">
        <v>-0.88999999996485712</v>
      </c>
    </row>
    <row r="62" spans="1:35" s="1091" customFormat="1" ht="19.5" thickTop="1" x14ac:dyDescent="0.3">
      <c r="D62" s="473"/>
      <c r="E62" s="473"/>
      <c r="F62" s="473"/>
      <c r="G62" s="473"/>
      <c r="H62" s="473"/>
      <c r="I62" s="473"/>
      <c r="J62" s="473"/>
      <c r="K62" s="473"/>
      <c r="L62" s="473"/>
      <c r="M62" s="473"/>
      <c r="N62" s="473"/>
      <c r="O62" s="1168"/>
      <c r="P62" s="1168"/>
      <c r="Q62" s="1168"/>
      <c r="R62" s="31"/>
      <c r="S62" s="1249">
        <v>23923</v>
      </c>
      <c r="T62" s="1115"/>
      <c r="U62" s="1128"/>
    </row>
    <row r="63" spans="1:35" s="1091" customFormat="1" x14ac:dyDescent="0.3">
      <c r="D63" s="473"/>
      <c r="E63" s="473"/>
      <c r="F63" s="473"/>
      <c r="G63" s="473"/>
      <c r="H63" s="473"/>
      <c r="I63" s="473"/>
      <c r="J63" s="473"/>
      <c r="K63" s="473"/>
      <c r="L63" s="473"/>
      <c r="M63" s="473"/>
      <c r="N63" s="473"/>
      <c r="O63" s="1168"/>
      <c r="P63" s="1168"/>
      <c r="Q63" s="1168"/>
      <c r="R63" s="31"/>
      <c r="S63" s="1249"/>
      <c r="T63" s="1115"/>
      <c r="U63" s="1128"/>
    </row>
    <row r="64" spans="1:35" s="1091" customFormat="1" ht="15.75" x14ac:dyDescent="0.25">
      <c r="C64" s="1168" t="s">
        <v>510</v>
      </c>
      <c r="D64" s="474">
        <v>22881619</v>
      </c>
      <c r="E64" s="473"/>
      <c r="F64" s="473" t="s">
        <v>513</v>
      </c>
      <c r="G64" s="473"/>
      <c r="H64" s="473">
        <v>12333743.460000001</v>
      </c>
      <c r="I64" s="473"/>
      <c r="J64" s="473"/>
      <c r="K64" s="473"/>
      <c r="L64" s="473"/>
      <c r="M64" s="473"/>
      <c r="N64" s="473"/>
      <c r="O64" s="1168"/>
      <c r="P64" s="1168"/>
      <c r="Q64" s="1168"/>
      <c r="R64" s="31"/>
      <c r="S64" s="1252"/>
      <c r="T64" s="31"/>
      <c r="U64" s="1128"/>
      <c r="V64" s="1128"/>
      <c r="W64" s="1128"/>
      <c r="X64" s="1128"/>
      <c r="Y64" s="1128"/>
      <c r="Z64" s="1128"/>
      <c r="AA64" s="1128"/>
      <c r="AB64" s="1128"/>
      <c r="AC64" s="1128"/>
      <c r="AD64" s="1128"/>
      <c r="AE64" s="1128"/>
      <c r="AF64" s="1128"/>
      <c r="AG64" s="1128"/>
      <c r="AH64" s="1128"/>
      <c r="AI64" s="1128"/>
    </row>
    <row r="65" spans="3:35" s="1091" customFormat="1" ht="15.75" x14ac:dyDescent="0.25">
      <c r="C65" s="1168" t="s">
        <v>511</v>
      </c>
      <c r="D65" s="474">
        <v>22379293.09</v>
      </c>
      <c r="E65" s="473"/>
      <c r="F65" s="473" t="s">
        <v>514</v>
      </c>
      <c r="G65" s="473"/>
      <c r="H65" s="473">
        <v>10547875.539999999</v>
      </c>
      <c r="I65" s="473"/>
      <c r="J65" s="473" t="s">
        <v>519</v>
      </c>
      <c r="K65" s="473"/>
      <c r="L65" s="473">
        <v>1363133.97</v>
      </c>
      <c r="M65" s="473"/>
      <c r="N65" s="473"/>
      <c r="O65" s="1168"/>
      <c r="P65" s="1168"/>
      <c r="Q65" s="1168"/>
      <c r="R65" s="31"/>
      <c r="S65" s="1252"/>
      <c r="T65" s="31"/>
      <c r="U65" s="1128"/>
      <c r="V65" s="1128"/>
      <c r="W65" s="1128"/>
      <c r="X65" s="1128"/>
      <c r="Y65" s="1128"/>
      <c r="Z65" s="1128"/>
      <c r="AA65" s="1128"/>
      <c r="AB65" s="1128"/>
      <c r="AC65" s="1128"/>
      <c r="AD65" s="1128"/>
      <c r="AE65" s="1128"/>
      <c r="AF65" s="1128"/>
      <c r="AG65" s="1128"/>
      <c r="AH65" s="1128"/>
      <c r="AI65" s="1128"/>
    </row>
    <row r="66" spans="3:35" s="1091" customFormat="1" ht="15.75" x14ac:dyDescent="0.25">
      <c r="C66" s="1168" t="s">
        <v>512</v>
      </c>
      <c r="D66" s="474">
        <v>502325.91000000015</v>
      </c>
      <c r="E66" s="473"/>
      <c r="F66" s="473"/>
      <c r="G66" s="473"/>
      <c r="H66" s="473"/>
      <c r="I66" s="473"/>
      <c r="J66" s="473"/>
      <c r="K66" s="473"/>
      <c r="L66" s="473"/>
      <c r="M66" s="473"/>
      <c r="N66" s="473"/>
      <c r="O66" s="1168"/>
      <c r="P66" s="1168"/>
      <c r="Q66" s="1168"/>
      <c r="R66" s="31"/>
      <c r="S66" s="1252"/>
      <c r="T66" s="31"/>
      <c r="U66" s="1128"/>
      <c r="V66" s="1128"/>
      <c r="W66" s="1128"/>
      <c r="X66" s="1128"/>
      <c r="Y66" s="1128"/>
      <c r="Z66" s="1128"/>
      <c r="AA66" s="1128"/>
      <c r="AB66" s="1128"/>
      <c r="AC66" s="1128"/>
      <c r="AD66" s="1128"/>
      <c r="AE66" s="1128"/>
      <c r="AF66" s="1128"/>
      <c r="AG66" s="1128"/>
      <c r="AH66" s="1128"/>
      <c r="AI66" s="1128"/>
    </row>
    <row r="67" spans="3:35" s="1091" customFormat="1" ht="15.75" x14ac:dyDescent="0.25">
      <c r="D67" s="473"/>
      <c r="E67" s="473"/>
      <c r="F67" s="473"/>
      <c r="G67" s="473"/>
      <c r="H67" s="473"/>
      <c r="I67" s="473"/>
      <c r="J67" s="473"/>
      <c r="K67" s="473"/>
      <c r="L67" s="473"/>
      <c r="M67" s="473"/>
      <c r="N67" s="473"/>
      <c r="O67" s="1168"/>
      <c r="P67" s="1168"/>
      <c r="Q67" s="1168"/>
      <c r="R67" s="31"/>
      <c r="S67" s="1252"/>
      <c r="T67" s="31"/>
      <c r="U67" s="1128"/>
      <c r="V67" s="1128"/>
      <c r="W67" s="1128"/>
      <c r="X67" s="1128"/>
      <c r="Y67" s="1128"/>
      <c r="Z67" s="1128"/>
      <c r="AA67" s="1128"/>
      <c r="AB67" s="1128"/>
      <c r="AC67" s="1128"/>
      <c r="AD67" s="1128"/>
      <c r="AE67" s="1128"/>
      <c r="AF67" s="1128"/>
      <c r="AG67" s="1128"/>
      <c r="AH67" s="1128"/>
      <c r="AI67" s="1128"/>
    </row>
    <row r="68" spans="3:35" s="1091" customFormat="1" ht="15.75" x14ac:dyDescent="0.25">
      <c r="D68" s="473">
        <v>17761074.100000001</v>
      </c>
      <c r="E68" s="473"/>
      <c r="F68" s="473">
        <v>6936192.9800000004</v>
      </c>
      <c r="G68" s="473"/>
      <c r="H68" s="473"/>
      <c r="I68" s="473"/>
      <c r="J68" s="473"/>
      <c r="K68" s="473"/>
      <c r="L68" s="473"/>
      <c r="M68" s="473"/>
      <c r="N68" s="473"/>
      <c r="O68" s="1168"/>
      <c r="P68" s="1168"/>
      <c r="Q68" s="1168"/>
      <c r="R68" s="31"/>
      <c r="S68" s="31"/>
      <c r="T68" s="31"/>
      <c r="U68" s="1128"/>
      <c r="V68" s="1128"/>
      <c r="W68" s="1128"/>
      <c r="X68" s="1128"/>
      <c r="Y68" s="1128"/>
      <c r="Z68" s="1128"/>
      <c r="AA68" s="1128"/>
      <c r="AB68" s="1128"/>
      <c r="AC68" s="1128"/>
      <c r="AD68" s="1128"/>
      <c r="AE68" s="1128"/>
      <c r="AF68" s="1128"/>
      <c r="AG68" s="1128"/>
      <c r="AH68" s="1128"/>
      <c r="AI68" s="1128"/>
    </row>
    <row r="69" spans="3:35" s="1091" customFormat="1" ht="15.75" x14ac:dyDescent="0.25">
      <c r="D69" s="473"/>
      <c r="E69" s="473"/>
      <c r="F69" s="473"/>
      <c r="G69" s="473"/>
      <c r="H69" s="473"/>
      <c r="I69" s="473"/>
      <c r="J69" s="473"/>
      <c r="K69" s="473"/>
      <c r="L69" s="473"/>
      <c r="M69" s="473"/>
      <c r="N69" s="473"/>
      <c r="O69" s="1168"/>
      <c r="P69" s="1168"/>
      <c r="Q69" s="1168"/>
      <c r="R69" s="31"/>
      <c r="S69" s="31"/>
      <c r="T69" s="31"/>
      <c r="U69" s="1128"/>
      <c r="V69" s="1128"/>
      <c r="W69" s="1128"/>
      <c r="X69" s="1128"/>
      <c r="Y69" s="1128"/>
      <c r="Z69" s="1128"/>
      <c r="AA69" s="1128"/>
      <c r="AB69" s="1128"/>
      <c r="AC69" s="1128"/>
      <c r="AD69" s="1128"/>
      <c r="AE69" s="1128"/>
      <c r="AF69" s="1128"/>
      <c r="AG69" s="1128"/>
      <c r="AH69" s="1128"/>
      <c r="AI69" s="1128"/>
    </row>
  </sheetData>
  <mergeCells count="23">
    <mergeCell ref="A61:C61"/>
    <mergeCell ref="E15:F15"/>
    <mergeCell ref="E16:F16"/>
    <mergeCell ref="E17:F17"/>
    <mergeCell ref="A23:T23"/>
    <mergeCell ref="A24:C25"/>
    <mergeCell ref="D24:D25"/>
    <mergeCell ref="E24:E25"/>
    <mergeCell ref="F24:F25"/>
    <mergeCell ref="G24:N24"/>
    <mergeCell ref="O24:T24"/>
    <mergeCell ref="L14:M14"/>
    <mergeCell ref="A1:N1"/>
    <mergeCell ref="M3:N3"/>
    <mergeCell ref="E4:F4"/>
    <mergeCell ref="M4:N4"/>
    <mergeCell ref="E5:F5"/>
    <mergeCell ref="E6:F6"/>
    <mergeCell ref="M7:N7"/>
    <mergeCell ref="M9:N9"/>
    <mergeCell ref="E10:F10"/>
    <mergeCell ref="E13:F13"/>
    <mergeCell ref="L13:M13"/>
  </mergeCells>
  <pageMargins left="0.43307086614173229" right="0.43307086614173229" top="0.15748031496062992" bottom="0" header="0.31496062992125984" footer="0.31496062992125984"/>
  <pageSetup scale="85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F24"/>
  <sheetViews>
    <sheetView workbookViewId="0">
      <selection activeCell="E10" sqref="E10"/>
    </sheetView>
  </sheetViews>
  <sheetFormatPr defaultColWidth="9.140625" defaultRowHeight="23.25" x14ac:dyDescent="0.35"/>
  <cols>
    <col min="1" max="1" width="7.7109375" style="1930" customWidth="1"/>
    <col min="2" max="2" width="26.85546875" style="1930" customWidth="1"/>
    <col min="3" max="3" width="49.140625" style="1930" customWidth="1"/>
    <col min="4" max="5" width="18.85546875" style="1930" bestFit="1" customWidth="1"/>
    <col min="6" max="6" width="23.28515625" style="1930" customWidth="1"/>
    <col min="7" max="16384" width="9.140625" style="1930"/>
  </cols>
  <sheetData>
    <row r="1" spans="1:6" x14ac:dyDescent="0.35">
      <c r="A1" s="3243" t="s">
        <v>714</v>
      </c>
      <c r="B1" s="3243"/>
      <c r="C1" s="3243"/>
      <c r="D1" s="3243"/>
      <c r="E1" s="3243"/>
      <c r="F1" s="3243"/>
    </row>
    <row r="2" spans="1:6" x14ac:dyDescent="0.35">
      <c r="A2" s="3244" t="s">
        <v>715</v>
      </c>
      <c r="B2" s="3244"/>
      <c r="C2" s="3244"/>
      <c r="D2" s="3244"/>
      <c r="E2" s="3244"/>
      <c r="F2" s="3244"/>
    </row>
    <row r="3" spans="1:6" ht="32.25" customHeight="1" x14ac:dyDescent="0.35">
      <c r="A3" s="3247" t="s">
        <v>716</v>
      </c>
      <c r="B3" s="3247" t="s">
        <v>720</v>
      </c>
      <c r="C3" s="3247" t="s">
        <v>0</v>
      </c>
      <c r="D3" s="3245" t="s">
        <v>727</v>
      </c>
      <c r="E3" s="3246"/>
      <c r="F3" s="3247" t="s">
        <v>18</v>
      </c>
    </row>
    <row r="4" spans="1:6" ht="28.5" customHeight="1" x14ac:dyDescent="0.35">
      <c r="A4" s="3248"/>
      <c r="B4" s="3248"/>
      <c r="C4" s="3248"/>
      <c r="D4" s="1935" t="s">
        <v>104</v>
      </c>
      <c r="E4" s="1935" t="s">
        <v>728</v>
      </c>
      <c r="F4" s="3248"/>
    </row>
    <row r="5" spans="1:6" ht="44.25" customHeight="1" x14ac:dyDescent="0.35">
      <c r="A5" s="1936">
        <v>1</v>
      </c>
      <c r="B5" s="1943"/>
      <c r="C5" s="1940" t="s">
        <v>718</v>
      </c>
      <c r="D5" s="1947">
        <v>3540000</v>
      </c>
      <c r="E5" s="1940"/>
      <c r="F5" s="1932"/>
    </row>
    <row r="6" spans="1:6" ht="44.25" customHeight="1" x14ac:dyDescent="0.35">
      <c r="A6" s="1937">
        <v>2</v>
      </c>
      <c r="B6" s="1944" t="s">
        <v>724</v>
      </c>
      <c r="C6" s="1941" t="s">
        <v>722</v>
      </c>
      <c r="D6" s="1941"/>
      <c r="E6" s="1948">
        <v>876000</v>
      </c>
      <c r="F6" s="1939"/>
    </row>
    <row r="7" spans="1:6" ht="44.25" customHeight="1" x14ac:dyDescent="0.35">
      <c r="A7" s="1937">
        <v>3</v>
      </c>
      <c r="B7" s="1945" t="s">
        <v>719</v>
      </c>
      <c r="C7" s="1942" t="s">
        <v>721</v>
      </c>
      <c r="D7" s="1949">
        <v>500000</v>
      </c>
      <c r="E7" s="1942"/>
      <c r="F7" s="1933"/>
    </row>
    <row r="8" spans="1:6" ht="44.25" customHeight="1" x14ac:dyDescent="0.35">
      <c r="A8" s="1937">
        <v>4</v>
      </c>
      <c r="B8" s="1946">
        <v>24147</v>
      </c>
      <c r="C8" s="1942" t="s">
        <v>723</v>
      </c>
      <c r="D8" s="1949">
        <v>960000</v>
      </c>
      <c r="E8" s="1942"/>
      <c r="F8" s="1933"/>
    </row>
    <row r="9" spans="1:6" ht="44.25" customHeight="1" x14ac:dyDescent="0.35">
      <c r="A9" s="1937">
        <v>5</v>
      </c>
      <c r="B9" s="1945" t="s">
        <v>725</v>
      </c>
      <c r="C9" s="1942" t="s">
        <v>726</v>
      </c>
      <c r="D9" s="1942"/>
      <c r="E9" s="1949">
        <v>1554000</v>
      </c>
      <c r="F9" s="1933"/>
    </row>
    <row r="10" spans="1:6" ht="44.25" customHeight="1" x14ac:dyDescent="0.35">
      <c r="A10" s="1937">
        <v>6</v>
      </c>
      <c r="B10" s="1937"/>
      <c r="C10" s="1942" t="s">
        <v>738</v>
      </c>
      <c r="D10" s="1942"/>
      <c r="E10" s="1949">
        <v>970000</v>
      </c>
      <c r="F10" s="1933"/>
    </row>
    <row r="11" spans="1:6" x14ac:dyDescent="0.35">
      <c r="A11" s="1931"/>
      <c r="B11" s="1931"/>
      <c r="C11" s="1950" t="s">
        <v>734</v>
      </c>
      <c r="D11" s="1951">
        <f>SUM(D5:D10)</f>
        <v>5000000</v>
      </c>
      <c r="E11" s="1952">
        <f>SUM(E5:E10)</f>
        <v>3400000</v>
      </c>
      <c r="F11" s="1931"/>
    </row>
    <row r="23" spans="1:6" x14ac:dyDescent="0.35">
      <c r="A23" s="3243"/>
      <c r="B23" s="3243"/>
      <c r="C23" s="3243"/>
      <c r="D23" s="3243"/>
      <c r="E23" s="3243"/>
      <c r="F23" s="3243"/>
    </row>
    <row r="24" spans="1:6" x14ac:dyDescent="0.35">
      <c r="A24" s="3244"/>
      <c r="B24" s="3244"/>
      <c r="C24" s="3244"/>
      <c r="D24" s="3244"/>
      <c r="E24" s="3244"/>
      <c r="F24" s="3244"/>
    </row>
  </sheetData>
  <mergeCells count="9">
    <mergeCell ref="A1:F1"/>
    <mergeCell ref="A2:F2"/>
    <mergeCell ref="A23:F23"/>
    <mergeCell ref="A24:F24"/>
    <mergeCell ref="D3:E3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G27"/>
  <sheetViews>
    <sheetView topLeftCell="A9" workbookViewId="0">
      <selection activeCell="J16" sqref="J16"/>
    </sheetView>
  </sheetViews>
  <sheetFormatPr defaultColWidth="9.140625" defaultRowHeight="23.25" x14ac:dyDescent="0.35"/>
  <cols>
    <col min="1" max="1" width="7.7109375" style="1930" customWidth="1"/>
    <col min="2" max="2" width="15.42578125" style="1930" customWidth="1"/>
    <col min="3" max="3" width="51.7109375" style="1930" customWidth="1"/>
    <col min="4" max="4" width="26.140625" style="1930" customWidth="1"/>
    <col min="5" max="6" width="18.85546875" style="1930" bestFit="1" customWidth="1"/>
    <col min="7" max="7" width="18" style="1930" customWidth="1"/>
    <col min="8" max="16384" width="9.140625" style="1930"/>
  </cols>
  <sheetData>
    <row r="1" spans="1:7" x14ac:dyDescent="0.35">
      <c r="A1" s="3243" t="s">
        <v>714</v>
      </c>
      <c r="B1" s="3243"/>
      <c r="C1" s="3243"/>
      <c r="D1" s="3243"/>
      <c r="E1" s="3243"/>
      <c r="F1" s="3243"/>
      <c r="G1" s="3243"/>
    </row>
    <row r="2" spans="1:7" x14ac:dyDescent="0.35">
      <c r="A2" s="3244" t="s">
        <v>729</v>
      </c>
      <c r="B2" s="3244"/>
      <c r="C2" s="3244"/>
      <c r="D2" s="3244"/>
      <c r="E2" s="3244"/>
      <c r="F2" s="3244"/>
      <c r="G2" s="3244"/>
    </row>
    <row r="3" spans="1:7" ht="32.25" customHeight="1" x14ac:dyDescent="0.35">
      <c r="A3" s="3247" t="s">
        <v>716</v>
      </c>
      <c r="B3" s="3247" t="s">
        <v>717</v>
      </c>
      <c r="C3" s="3247" t="s">
        <v>0</v>
      </c>
      <c r="D3" s="3245" t="s">
        <v>736</v>
      </c>
      <c r="E3" s="3247" t="s">
        <v>590</v>
      </c>
      <c r="F3" s="3247" t="s">
        <v>16</v>
      </c>
      <c r="G3" s="3247" t="s">
        <v>18</v>
      </c>
    </row>
    <row r="4" spans="1:7" ht="28.5" customHeight="1" x14ac:dyDescent="0.35">
      <c r="A4" s="3248"/>
      <c r="B4" s="3248"/>
      <c r="C4" s="3248"/>
      <c r="D4" s="3249"/>
      <c r="E4" s="3248"/>
      <c r="F4" s="3248"/>
      <c r="G4" s="3248"/>
    </row>
    <row r="5" spans="1:7" ht="28.5" customHeight="1" x14ac:dyDescent="0.35">
      <c r="A5" s="2022"/>
      <c r="B5" s="2022"/>
      <c r="C5" s="2023" t="s">
        <v>768</v>
      </c>
      <c r="D5" s="2024">
        <v>3540000</v>
      </c>
      <c r="E5" s="2022"/>
      <c r="F5" s="2022"/>
      <c r="G5" s="2022"/>
    </row>
    <row r="6" spans="1:7" ht="44.25" customHeight="1" x14ac:dyDescent="0.35">
      <c r="A6" s="1936">
        <v>1</v>
      </c>
      <c r="B6" s="1936"/>
      <c r="C6" s="1940" t="s">
        <v>730</v>
      </c>
      <c r="D6" s="1934">
        <f>3540000/2</f>
        <v>1770000</v>
      </c>
      <c r="E6" s="1934"/>
      <c r="F6" s="1934"/>
      <c r="G6" s="1932"/>
    </row>
    <row r="7" spans="1:7" ht="44.25" customHeight="1" x14ac:dyDescent="0.35">
      <c r="A7" s="1937">
        <v>2</v>
      </c>
      <c r="B7" s="1938" t="s">
        <v>731</v>
      </c>
      <c r="C7" s="1941" t="s">
        <v>769</v>
      </c>
      <c r="D7" s="1948">
        <f>876000</f>
        <v>876000</v>
      </c>
      <c r="E7" s="1948"/>
      <c r="F7" s="1948"/>
      <c r="G7" s="1939"/>
    </row>
    <row r="8" spans="1:7" ht="44.25" customHeight="1" x14ac:dyDescent="0.35">
      <c r="A8" s="1937">
        <v>3</v>
      </c>
      <c r="B8" s="1937" t="s">
        <v>719</v>
      </c>
      <c r="C8" s="1942" t="s">
        <v>763</v>
      </c>
      <c r="D8" s="1949">
        <f>500000/2</f>
        <v>250000</v>
      </c>
      <c r="E8" s="1949"/>
      <c r="F8" s="1949"/>
      <c r="G8" s="1933"/>
    </row>
    <row r="9" spans="1:7" ht="44.25" customHeight="1" x14ac:dyDescent="0.35">
      <c r="A9" s="1937">
        <v>4</v>
      </c>
      <c r="B9" s="1937" t="s">
        <v>733</v>
      </c>
      <c r="C9" s="1942" t="s">
        <v>765</v>
      </c>
      <c r="D9" s="1949">
        <f>1554000</f>
        <v>1554000</v>
      </c>
      <c r="E9" s="1949"/>
      <c r="F9" s="1949"/>
      <c r="G9" s="1933"/>
    </row>
    <row r="10" spans="1:7" ht="44.25" customHeight="1" x14ac:dyDescent="0.35">
      <c r="A10" s="1937">
        <v>5</v>
      </c>
      <c r="B10" s="1937" t="s">
        <v>732</v>
      </c>
      <c r="C10" s="1942" t="s">
        <v>764</v>
      </c>
      <c r="D10" s="1949">
        <f>960000/2</f>
        <v>480000</v>
      </c>
      <c r="E10" s="1949"/>
      <c r="F10" s="1949"/>
      <c r="G10" s="1933"/>
    </row>
    <row r="11" spans="1:7" ht="44.25" customHeight="1" x14ac:dyDescent="0.35">
      <c r="A11" s="1937">
        <v>6</v>
      </c>
      <c r="B11" s="1937" t="s">
        <v>735</v>
      </c>
      <c r="C11" s="1942" t="s">
        <v>737</v>
      </c>
      <c r="D11" s="1949"/>
      <c r="E11" s="1949">
        <f>จัดสรรงบประมาณ!S42+จัดสรรงบประมาณ!AB42</f>
        <v>3649785</v>
      </c>
      <c r="F11" s="1949">
        <f>D14-E11</f>
        <v>2157950</v>
      </c>
      <c r="G11" s="1933"/>
    </row>
    <row r="12" spans="1:7" ht="44.25" customHeight="1" x14ac:dyDescent="0.35">
      <c r="A12" s="2014">
        <v>7</v>
      </c>
      <c r="B12" s="2014" t="s">
        <v>762</v>
      </c>
      <c r="C12" s="2015" t="s">
        <v>766</v>
      </c>
      <c r="D12" s="2016">
        <v>877735</v>
      </c>
      <c r="E12" s="2016"/>
      <c r="F12" s="2016"/>
      <c r="G12" s="2017"/>
    </row>
    <row r="13" spans="1:7" ht="44.25" customHeight="1" x14ac:dyDescent="0.35">
      <c r="A13" s="2018">
        <v>8</v>
      </c>
      <c r="B13" s="2018"/>
      <c r="C13" s="2019" t="s">
        <v>767</v>
      </c>
      <c r="D13" s="2020"/>
      <c r="E13" s="2020"/>
      <c r="F13" s="2020"/>
      <c r="G13" s="2021"/>
    </row>
    <row r="14" spans="1:7" x14ac:dyDescent="0.35">
      <c r="A14" s="1931"/>
      <c r="B14" s="1931"/>
      <c r="C14" s="1950" t="s">
        <v>734</v>
      </c>
      <c r="D14" s="1951">
        <f>SUM(D6:D13)</f>
        <v>5807735</v>
      </c>
      <c r="E14" s="1951">
        <f>SUM(E11)</f>
        <v>3649785</v>
      </c>
      <c r="F14" s="1951">
        <f>D14-E14</f>
        <v>2157950</v>
      </c>
      <c r="G14" s="1931"/>
    </row>
    <row r="15" spans="1:7" ht="24" thickBot="1" x14ac:dyDescent="0.4">
      <c r="C15" s="2025" t="s">
        <v>770</v>
      </c>
      <c r="D15" s="2027">
        <f>D5+D7+(D8*2)+D9+(D10*2)+D12</f>
        <v>8307735</v>
      </c>
    </row>
    <row r="16" spans="1:7" ht="24" thickTop="1" x14ac:dyDescent="0.35">
      <c r="C16" s="1930" t="s">
        <v>771</v>
      </c>
      <c r="D16" s="2028">
        <f>จัดสรรงบประมาณ!AX42</f>
        <v>8307735</v>
      </c>
    </row>
    <row r="17" spans="1:7" x14ac:dyDescent="0.35">
      <c r="C17" s="1930" t="s">
        <v>772</v>
      </c>
      <c r="D17" s="2026">
        <f>D15-D16</f>
        <v>0</v>
      </c>
    </row>
    <row r="26" spans="1:7" x14ac:dyDescent="0.35">
      <c r="A26" s="3243"/>
      <c r="B26" s="3243"/>
      <c r="C26" s="3243"/>
      <c r="D26" s="3243"/>
      <c r="E26" s="3243"/>
      <c r="F26" s="3243"/>
      <c r="G26" s="3243"/>
    </row>
    <row r="27" spans="1:7" x14ac:dyDescent="0.35">
      <c r="A27" s="3243"/>
      <c r="B27" s="3243"/>
      <c r="C27" s="3243"/>
      <c r="D27" s="3243"/>
      <c r="E27" s="3243"/>
      <c r="F27" s="3243"/>
      <c r="G27" s="3243"/>
    </row>
  </sheetData>
  <mergeCells count="11">
    <mergeCell ref="A26:G26"/>
    <mergeCell ref="A27:G27"/>
    <mergeCell ref="D3:D4"/>
    <mergeCell ref="B3:B4"/>
    <mergeCell ref="A1:G1"/>
    <mergeCell ref="A2:G2"/>
    <mergeCell ref="E3:E4"/>
    <mergeCell ref="F3:F4"/>
    <mergeCell ref="A3:A4"/>
    <mergeCell ref="C3:C4"/>
    <mergeCell ref="G3:G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69"/>
  <sheetViews>
    <sheetView view="pageBreakPreview" topLeftCell="A23" zoomScaleNormal="90" zoomScaleSheetLayoutView="100" workbookViewId="0">
      <pane ySplit="3" topLeftCell="A39" activePane="bottomLeft" state="frozen"/>
      <selection activeCell="A23" sqref="A23"/>
      <selection pane="bottomLeft" activeCell="E46" sqref="E46"/>
    </sheetView>
  </sheetViews>
  <sheetFormatPr defaultColWidth="9" defaultRowHeight="18.75" x14ac:dyDescent="0.3"/>
  <cols>
    <col min="1" max="2" width="3.5703125" style="1062" customWidth="1"/>
    <col min="3" max="3" width="24.85546875" style="1062" customWidth="1"/>
    <col min="4" max="4" width="10.42578125" style="416" customWidth="1"/>
    <col min="5" max="5" width="9.140625" style="416" customWidth="1"/>
    <col min="6" max="6" width="8.85546875" style="416" customWidth="1"/>
    <col min="7" max="7" width="8.28515625" style="416" customWidth="1"/>
    <col min="8" max="8" width="9" style="416" customWidth="1"/>
    <col min="9" max="9" width="9.42578125" style="416" customWidth="1"/>
    <col min="10" max="10" width="9.140625" style="416" customWidth="1"/>
    <col min="11" max="11" width="9.28515625" style="416" customWidth="1"/>
    <col min="12" max="12" width="9.140625" style="416" customWidth="1"/>
    <col min="13" max="13" width="9.28515625" style="416" customWidth="1"/>
    <col min="14" max="14" width="9.5703125" style="416" customWidth="1"/>
    <col min="15" max="16" width="10.7109375" style="595" hidden="1" customWidth="1"/>
    <col min="17" max="17" width="10.28515625" style="595" customWidth="1"/>
    <col min="18" max="18" width="11" style="366" hidden="1" customWidth="1"/>
    <col min="19" max="19" width="10.140625" style="366" customWidth="1"/>
    <col min="20" max="21" width="9.85546875" style="366" customWidth="1"/>
    <col min="22" max="22" width="10" style="1125" bestFit="1" customWidth="1"/>
    <col min="23" max="23" width="10.5703125" style="1125" bestFit="1" customWidth="1"/>
    <col min="24" max="24" width="9.140625" style="1125" bestFit="1" customWidth="1"/>
    <col min="25" max="26" width="9" style="1125"/>
    <col min="27" max="27" width="9.140625" style="1125" bestFit="1" customWidth="1"/>
    <col min="28" max="36" width="9" style="1125"/>
    <col min="37" max="16384" width="9" style="1062"/>
  </cols>
  <sheetData>
    <row r="1" spans="1:36" hidden="1" x14ac:dyDescent="0.3">
      <c r="A1" s="3144" t="s">
        <v>424</v>
      </c>
      <c r="B1" s="3144"/>
      <c r="C1" s="3144"/>
      <c r="D1" s="3144"/>
      <c r="E1" s="3144"/>
      <c r="F1" s="3144"/>
      <c r="G1" s="3144"/>
      <c r="H1" s="3144"/>
      <c r="I1" s="3144"/>
      <c r="J1" s="3144"/>
      <c r="K1" s="3144"/>
      <c r="L1" s="3144"/>
      <c r="M1" s="3144"/>
      <c r="N1" s="3144"/>
    </row>
    <row r="2" spans="1:36" hidden="1" x14ac:dyDescent="0.3">
      <c r="A2" s="1063"/>
      <c r="B2" s="1064" t="s">
        <v>425</v>
      </c>
      <c r="D2" s="1063"/>
      <c r="E2" s="1063"/>
      <c r="F2" s="1063"/>
      <c r="G2" s="1063"/>
      <c r="H2" s="1063"/>
      <c r="I2" s="1064" t="s">
        <v>426</v>
      </c>
      <c r="J2" s="1063"/>
      <c r="K2" s="1063"/>
      <c r="L2" s="1063"/>
      <c r="M2" s="1063"/>
      <c r="N2" s="1063"/>
    </row>
    <row r="3" spans="1:36" hidden="1" x14ac:dyDescent="0.3">
      <c r="A3" s="1063"/>
      <c r="B3" s="1065"/>
      <c r="D3" s="1063"/>
      <c r="E3" s="1063"/>
      <c r="F3" s="1066"/>
      <c r="G3" s="1063"/>
      <c r="H3" s="1063"/>
      <c r="I3" s="1065"/>
      <c r="J3" s="1063"/>
      <c r="K3" s="1063"/>
      <c r="L3" s="1063"/>
      <c r="M3" s="3198"/>
      <c r="N3" s="3198"/>
    </row>
    <row r="4" spans="1:36" hidden="1" x14ac:dyDescent="0.3">
      <c r="A4" s="1063"/>
      <c r="B4" s="1065" t="s">
        <v>427</v>
      </c>
      <c r="D4" s="1063"/>
      <c r="E4" s="3199">
        <v>28188500</v>
      </c>
      <c r="F4" s="3199"/>
      <c r="G4" s="1063"/>
      <c r="H4" s="1063"/>
      <c r="I4" s="1065" t="s">
        <v>428</v>
      </c>
      <c r="J4" s="1063"/>
      <c r="K4" s="1062"/>
      <c r="L4" s="1062"/>
      <c r="M4" s="3199">
        <v>11132050</v>
      </c>
      <c r="N4" s="3199"/>
    </row>
    <row r="5" spans="1:36" hidden="1" x14ac:dyDescent="0.3">
      <c r="A5" s="1063"/>
      <c r="B5" s="1065" t="s">
        <v>429</v>
      </c>
      <c r="D5" s="1063"/>
      <c r="E5" s="3200">
        <v>5924400</v>
      </c>
      <c r="F5" s="3200"/>
      <c r="G5" s="1063"/>
      <c r="H5" s="1063"/>
      <c r="I5" s="1065" t="s">
        <v>430</v>
      </c>
      <c r="J5" s="1063"/>
      <c r="K5" s="1062"/>
      <c r="L5" s="1062"/>
      <c r="M5" s="1067"/>
      <c r="N5" s="1067">
        <v>5566000</v>
      </c>
      <c r="V5" s="1228"/>
    </row>
    <row r="6" spans="1:36" hidden="1" x14ac:dyDescent="0.3">
      <c r="A6" s="1063"/>
      <c r="B6" s="1065" t="s">
        <v>431</v>
      </c>
      <c r="D6" s="1063"/>
      <c r="E6" s="3212">
        <f>+E4-E5</f>
        <v>22264100</v>
      </c>
      <c r="F6" s="3212"/>
      <c r="G6" s="1063"/>
      <c r="H6" s="1063"/>
      <c r="I6" s="1065" t="s">
        <v>481</v>
      </c>
      <c r="J6" s="1063"/>
      <c r="K6" s="1062"/>
      <c r="L6" s="1062"/>
      <c r="M6" s="1067"/>
      <c r="N6" s="1067">
        <f>6789250-(721500*3)</f>
        <v>4624750</v>
      </c>
      <c r="V6" s="1228"/>
    </row>
    <row r="7" spans="1:36" s="595" customFormat="1" hidden="1" x14ac:dyDescent="0.3">
      <c r="A7" s="1068"/>
      <c r="B7" s="1070" t="s">
        <v>433</v>
      </c>
      <c r="D7" s="1068"/>
      <c r="E7" s="1068"/>
      <c r="F7" s="1123">
        <f>183000*2</f>
        <v>366000</v>
      </c>
      <c r="G7" s="791"/>
      <c r="H7" s="791"/>
      <c r="I7" s="1070" t="s">
        <v>433</v>
      </c>
      <c r="J7" s="791"/>
      <c r="K7" s="791"/>
      <c r="L7" s="791"/>
      <c r="M7" s="3213">
        <f>183000*2</f>
        <v>366000</v>
      </c>
      <c r="N7" s="3213"/>
      <c r="R7" s="366"/>
      <c r="S7" s="366"/>
      <c r="T7" s="366"/>
      <c r="U7" s="366"/>
      <c r="V7" s="1228"/>
      <c r="W7" s="1125"/>
      <c r="X7" s="1125"/>
      <c r="Y7" s="1125"/>
      <c r="Z7" s="1125"/>
      <c r="AA7" s="1125"/>
      <c r="AB7" s="1125"/>
      <c r="AC7" s="1125"/>
      <c r="AD7" s="1125"/>
      <c r="AE7" s="1125"/>
      <c r="AF7" s="1125"/>
      <c r="AG7" s="1125"/>
      <c r="AH7" s="1125"/>
      <c r="AI7" s="1125"/>
      <c r="AJ7" s="1125"/>
    </row>
    <row r="8" spans="1:36" s="595" customFormat="1" hidden="1" x14ac:dyDescent="0.3">
      <c r="A8" s="1068"/>
      <c r="B8" s="1065" t="s">
        <v>432</v>
      </c>
      <c r="C8" s="1062"/>
      <c r="D8" s="1068"/>
      <c r="E8" s="1068"/>
      <c r="F8" s="966">
        <v>6789250</v>
      </c>
      <c r="G8" s="791"/>
      <c r="H8" s="791"/>
      <c r="I8" s="1070" t="s">
        <v>480</v>
      </c>
      <c r="J8" s="791"/>
      <c r="K8" s="791"/>
      <c r="L8" s="791"/>
      <c r="M8" s="1124"/>
      <c r="N8" s="1124">
        <f>882*800*2</f>
        <v>1411200</v>
      </c>
      <c r="R8" s="366"/>
      <c r="S8" s="366"/>
      <c r="T8" s="366"/>
      <c r="U8" s="366"/>
      <c r="V8" s="1228"/>
      <c r="W8" s="1125"/>
      <c r="X8" s="1125"/>
      <c r="Y8" s="1125"/>
      <c r="Z8" s="1125"/>
      <c r="AA8" s="1125"/>
      <c r="AB8" s="1125"/>
      <c r="AC8" s="1125"/>
      <c r="AD8" s="1125"/>
      <c r="AE8" s="1125"/>
      <c r="AF8" s="1125"/>
      <c r="AG8" s="1125"/>
      <c r="AH8" s="1125"/>
      <c r="AI8" s="1125"/>
      <c r="AJ8" s="1125"/>
    </row>
    <row r="9" spans="1:36" hidden="1" x14ac:dyDescent="0.3">
      <c r="A9" s="1063"/>
      <c r="B9" s="1065" t="s">
        <v>435</v>
      </c>
      <c r="D9" s="1063"/>
      <c r="E9" s="1119"/>
      <c r="F9" s="1120">
        <v>2822400</v>
      </c>
      <c r="G9" s="1063"/>
      <c r="H9" s="1063"/>
      <c r="I9" s="1063"/>
      <c r="J9" s="1064" t="s">
        <v>434</v>
      </c>
      <c r="K9" s="1062"/>
      <c r="L9" s="1062"/>
      <c r="M9" s="3214">
        <f>+M4+N5+N6+M7+N8</f>
        <v>23100000</v>
      </c>
      <c r="N9" s="3214"/>
    </row>
    <row r="10" spans="1:36" hidden="1" x14ac:dyDescent="0.3">
      <c r="A10" s="1063"/>
      <c r="C10" s="1064" t="s">
        <v>437</v>
      </c>
      <c r="D10" s="1063"/>
      <c r="E10" s="3215">
        <f>+E6+F7+F8+F9</f>
        <v>32241750</v>
      </c>
      <c r="F10" s="3215"/>
      <c r="G10" s="1063"/>
      <c r="H10" s="1063"/>
      <c r="I10" s="1064" t="s">
        <v>485</v>
      </c>
      <c r="J10" s="1062"/>
      <c r="K10" s="1063"/>
      <c r="L10" s="1119"/>
      <c r="M10" s="1119"/>
    </row>
    <row r="11" spans="1:36" hidden="1" x14ac:dyDescent="0.3">
      <c r="A11" s="1063"/>
      <c r="B11" s="1064" t="s">
        <v>439</v>
      </c>
      <c r="C11" s="1063"/>
      <c r="D11" s="1063"/>
      <c r="E11" s="1062"/>
      <c r="F11" s="1120"/>
      <c r="G11" s="1063"/>
      <c r="H11" s="1063"/>
      <c r="I11" s="1065" t="s">
        <v>484</v>
      </c>
      <c r="J11" s="1062"/>
      <c r="K11" s="1063"/>
      <c r="M11" s="1119"/>
      <c r="N11" s="1119">
        <v>3184093</v>
      </c>
    </row>
    <row r="12" spans="1:36" hidden="1" x14ac:dyDescent="0.3">
      <c r="A12" s="1063"/>
      <c r="B12" s="1065" t="s">
        <v>441</v>
      </c>
      <c r="D12" s="1063"/>
      <c r="E12" s="1121"/>
      <c r="F12" s="406">
        <f>9705821+20310-366000</f>
        <v>9360131</v>
      </c>
      <c r="G12" s="1068"/>
      <c r="H12" s="1069"/>
      <c r="I12" s="1065" t="s">
        <v>436</v>
      </c>
      <c r="K12" s="1063"/>
      <c r="N12" s="1119">
        <v>1601814</v>
      </c>
    </row>
    <row r="13" spans="1:36" hidden="1" x14ac:dyDescent="0.3">
      <c r="A13" s="1063"/>
      <c r="B13" s="1070" t="s">
        <v>479</v>
      </c>
      <c r="C13" s="366"/>
      <c r="D13" s="1063"/>
      <c r="E13" s="3208">
        <f>+D61</f>
        <v>22379293.09</v>
      </c>
      <c r="F13" s="3208"/>
      <c r="G13" s="1068"/>
      <c r="H13" s="1063"/>
      <c r="I13" s="1065" t="s">
        <v>482</v>
      </c>
      <c r="K13" s="1062"/>
      <c r="L13" s="3209"/>
      <c r="M13" s="3209"/>
      <c r="N13" s="1119">
        <v>20310</v>
      </c>
      <c r="R13" s="406">
        <f>+M9-L10-N12</f>
        <v>21498186</v>
      </c>
    </row>
    <row r="14" spans="1:36" hidden="1" x14ac:dyDescent="0.3">
      <c r="A14" s="1063"/>
      <c r="B14" s="791"/>
      <c r="C14" s="791" t="s">
        <v>16</v>
      </c>
      <c r="D14" s="1063"/>
      <c r="E14" s="1062"/>
      <c r="F14" s="1121">
        <f>+E10-F12-E13</f>
        <v>502325.91000000015</v>
      </c>
      <c r="G14" s="1068"/>
      <c r="H14" s="1063"/>
      <c r="I14" s="1065" t="s">
        <v>483</v>
      </c>
      <c r="J14" s="1062"/>
      <c r="K14" s="1062"/>
      <c r="L14" s="3209"/>
      <c r="M14" s="3209"/>
      <c r="N14" s="416">
        <f>800*882*2</f>
        <v>1411200</v>
      </c>
    </row>
    <row r="15" spans="1:36" s="366" customFormat="1" hidden="1" x14ac:dyDescent="0.3">
      <c r="A15" s="791"/>
      <c r="B15" s="791"/>
      <c r="C15" s="791" t="s">
        <v>488</v>
      </c>
      <c r="D15" s="791"/>
      <c r="E15" s="3179">
        <f>+E13+F14</f>
        <v>22881619</v>
      </c>
      <c r="F15" s="3179"/>
      <c r="G15" s="1068"/>
      <c r="H15" s="791"/>
      <c r="I15" s="1065" t="s">
        <v>438</v>
      </c>
      <c r="J15" s="1062"/>
      <c r="N15" s="406">
        <f>+'2 สรุปตามงบที่ได้รับมาแล้ว'!J8</f>
        <v>-973615</v>
      </c>
      <c r="O15" s="595"/>
      <c r="P15" s="595"/>
      <c r="Q15" s="595"/>
      <c r="T15" s="406"/>
      <c r="U15" s="406"/>
      <c r="V15" s="1125"/>
      <c r="W15" s="1125"/>
      <c r="X15" s="1125"/>
      <c r="Y15" s="1125"/>
      <c r="Z15" s="1125"/>
      <c r="AA15" s="1125"/>
      <c r="AB15" s="1125"/>
      <c r="AC15" s="1125"/>
      <c r="AD15" s="1125"/>
      <c r="AE15" s="1125"/>
      <c r="AF15" s="1125"/>
      <c r="AG15" s="1125"/>
      <c r="AH15" s="1125"/>
      <c r="AI15" s="1125"/>
      <c r="AJ15" s="1125"/>
    </row>
    <row r="16" spans="1:36" s="366" customFormat="1" hidden="1" x14ac:dyDescent="0.3">
      <c r="A16" s="791"/>
      <c r="D16" s="791"/>
      <c r="E16" s="3179"/>
      <c r="F16" s="3179"/>
      <c r="G16" s="1068"/>
      <c r="H16" s="791"/>
      <c r="I16" s="1065" t="s">
        <v>440</v>
      </c>
      <c r="J16" s="1062"/>
      <c r="K16" s="791"/>
      <c r="L16" s="791"/>
      <c r="M16" s="942"/>
      <c r="N16" s="1124">
        <f>+'2 สรุปตามงบที่ได้รับมาแล้ว'!K8</f>
        <v>-4321269</v>
      </c>
      <c r="O16" s="595"/>
      <c r="P16" s="595"/>
      <c r="Q16" s="595"/>
      <c r="T16" s="406"/>
      <c r="U16" s="406"/>
      <c r="V16" s="1125"/>
      <c r="W16" s="1125"/>
      <c r="X16" s="1125"/>
      <c r="Y16" s="1125"/>
      <c r="Z16" s="1125"/>
      <c r="AA16" s="1125"/>
      <c r="AB16" s="1125"/>
      <c r="AC16" s="1125"/>
      <c r="AD16" s="1125"/>
      <c r="AE16" s="1125"/>
      <c r="AF16" s="1125"/>
      <c r="AG16" s="1125"/>
      <c r="AH16" s="1125"/>
      <c r="AI16" s="1125"/>
      <c r="AJ16" s="1125"/>
    </row>
    <row r="17" spans="1:36" s="366" customFormat="1" hidden="1" x14ac:dyDescent="0.3">
      <c r="A17" s="791"/>
      <c r="D17" s="791"/>
      <c r="E17" s="3177"/>
      <c r="F17" s="3177"/>
      <c r="G17" s="1068"/>
      <c r="H17" s="943"/>
      <c r="I17" s="1065" t="s">
        <v>442</v>
      </c>
      <c r="K17" s="791"/>
      <c r="L17" s="791"/>
      <c r="M17" s="791"/>
      <c r="N17" s="957">
        <f>+G61+H61+I61</f>
        <v>2451978</v>
      </c>
      <c r="O17" s="595"/>
      <c r="P17" s="595"/>
      <c r="Q17" s="595"/>
      <c r="V17" s="1125"/>
      <c r="W17" s="1125"/>
      <c r="X17" s="1125"/>
      <c r="Y17" s="1125"/>
      <c r="Z17" s="1125"/>
      <c r="AA17" s="1125"/>
      <c r="AB17" s="1125"/>
      <c r="AC17" s="1125"/>
      <c r="AD17" s="1125"/>
      <c r="AE17" s="1125"/>
      <c r="AF17" s="1125"/>
      <c r="AG17" s="1125"/>
      <c r="AH17" s="1125"/>
      <c r="AI17" s="1125"/>
      <c r="AJ17" s="1125"/>
    </row>
    <row r="18" spans="1:36" s="366" customFormat="1" hidden="1" x14ac:dyDescent="0.3">
      <c r="A18" s="791"/>
      <c r="D18" s="791"/>
      <c r="E18" s="1122"/>
      <c r="F18" s="1122"/>
      <c r="G18" s="1068"/>
      <c r="H18" s="943"/>
      <c r="I18" s="385" t="s">
        <v>443</v>
      </c>
      <c r="K18" s="791"/>
      <c r="L18" s="791"/>
      <c r="M18" s="791"/>
      <c r="N18" s="943">
        <f>+M9-N11-N12-N13-N14-N15-N16-N17</f>
        <v>19725489</v>
      </c>
      <c r="O18" s="595"/>
      <c r="P18" s="595"/>
      <c r="Q18" s="595"/>
      <c r="V18" s="1125"/>
      <c r="W18" s="1125"/>
      <c r="X18" s="1125"/>
      <c r="Y18" s="1125"/>
      <c r="Z18" s="1125"/>
      <c r="AA18" s="1125"/>
      <c r="AB18" s="1125"/>
      <c r="AC18" s="1125"/>
      <c r="AD18" s="1125"/>
      <c r="AE18" s="1125"/>
      <c r="AF18" s="1125"/>
      <c r="AG18" s="1125"/>
      <c r="AH18" s="1125"/>
      <c r="AI18" s="1125"/>
      <c r="AJ18" s="1125"/>
    </row>
    <row r="19" spans="1:36" s="366" customFormat="1" hidden="1" x14ac:dyDescent="0.3">
      <c r="A19" s="791"/>
      <c r="D19" s="791"/>
      <c r="E19" s="1122"/>
      <c r="F19" s="1122"/>
      <c r="G19" s="1068"/>
      <c r="H19" s="943"/>
      <c r="I19" s="385"/>
      <c r="K19" s="791"/>
      <c r="L19" s="791"/>
      <c r="M19" s="791"/>
      <c r="N19" s="943"/>
      <c r="O19" s="595"/>
      <c r="P19" s="595"/>
      <c r="Q19" s="595"/>
      <c r="V19" s="1125"/>
      <c r="W19" s="1125"/>
      <c r="X19" s="1125"/>
      <c r="Y19" s="1125"/>
      <c r="Z19" s="1125"/>
      <c r="AA19" s="1125"/>
      <c r="AB19" s="1125"/>
      <c r="AC19" s="1125"/>
      <c r="AD19" s="1125"/>
      <c r="AE19" s="1125"/>
      <c r="AF19" s="1125"/>
      <c r="AG19" s="1125"/>
      <c r="AH19" s="1125"/>
      <c r="AI19" s="1125"/>
      <c r="AJ19" s="1125"/>
    </row>
    <row r="20" spans="1:36" s="366" customFormat="1" hidden="1" x14ac:dyDescent="0.3">
      <c r="A20" s="791"/>
      <c r="D20" s="791"/>
      <c r="E20" s="1122"/>
      <c r="F20" s="1122"/>
      <c r="G20" s="1068"/>
      <c r="H20" s="943"/>
      <c r="I20" s="385"/>
      <c r="K20" s="791"/>
      <c r="L20" s="791"/>
      <c r="M20" s="791"/>
      <c r="N20" s="943"/>
      <c r="O20" s="595"/>
      <c r="P20" s="595"/>
      <c r="Q20" s="595"/>
      <c r="V20" s="1125"/>
      <c r="W20" s="1125"/>
      <c r="X20" s="1125"/>
      <c r="Y20" s="1125"/>
      <c r="Z20" s="1125"/>
      <c r="AA20" s="1125"/>
      <c r="AB20" s="1125"/>
      <c r="AC20" s="1125"/>
      <c r="AD20" s="1125"/>
      <c r="AE20" s="1125"/>
      <c r="AF20" s="1125"/>
      <c r="AG20" s="1125"/>
      <c r="AH20" s="1125"/>
      <c r="AI20" s="1125"/>
      <c r="AJ20" s="1125"/>
    </row>
    <row r="21" spans="1:36" s="366" customFormat="1" hidden="1" x14ac:dyDescent="0.3">
      <c r="A21" s="791"/>
      <c r="D21" s="791"/>
      <c r="E21" s="1122"/>
      <c r="F21" s="1122"/>
      <c r="G21" s="1068"/>
      <c r="H21" s="943"/>
      <c r="I21" s="385"/>
      <c r="K21" s="791"/>
      <c r="L21" s="791"/>
      <c r="M21" s="791"/>
      <c r="N21" s="943"/>
      <c r="O21" s="595"/>
      <c r="P21" s="595"/>
      <c r="Q21" s="595"/>
      <c r="V21" s="1125"/>
      <c r="W21" s="1125"/>
      <c r="X21" s="1125"/>
      <c r="Y21" s="1125"/>
      <c r="Z21" s="1125"/>
      <c r="AA21" s="1125"/>
      <c r="AB21" s="1125"/>
      <c r="AC21" s="1125"/>
      <c r="AD21" s="1125"/>
      <c r="AE21" s="1125"/>
      <c r="AF21" s="1125"/>
      <c r="AG21" s="1125"/>
      <c r="AH21" s="1125"/>
      <c r="AI21" s="1125"/>
      <c r="AJ21" s="1125"/>
    </row>
    <row r="22" spans="1:36" s="366" customFormat="1" ht="19.5" hidden="1" thickBot="1" x14ac:dyDescent="0.35">
      <c r="A22" s="791"/>
      <c r="D22" s="791"/>
      <c r="E22" s="1122"/>
      <c r="F22" s="1122"/>
      <c r="G22" s="1068"/>
      <c r="H22" s="943"/>
      <c r="I22" s="385"/>
      <c r="K22" s="791"/>
      <c r="L22" s="791"/>
      <c r="M22" s="791"/>
      <c r="N22" s="943"/>
      <c r="O22" s="595"/>
      <c r="P22" s="595"/>
      <c r="Q22" s="595"/>
      <c r="V22" s="1125"/>
      <c r="W22" s="1125"/>
      <c r="X22" s="1125"/>
      <c r="Y22" s="1125"/>
      <c r="Z22" s="1125"/>
      <c r="AA22" s="1125"/>
      <c r="AB22" s="1125"/>
      <c r="AC22" s="1125"/>
      <c r="AD22" s="1125"/>
      <c r="AE22" s="1125"/>
      <c r="AF22" s="1125"/>
      <c r="AG22" s="1125"/>
      <c r="AH22" s="1125"/>
      <c r="AI22" s="1125"/>
      <c r="AJ22" s="1125"/>
    </row>
    <row r="23" spans="1:36" s="366" customFormat="1" ht="32.25" customHeight="1" thickBot="1" x14ac:dyDescent="0.35">
      <c r="A23" s="3150" t="s">
        <v>496</v>
      </c>
      <c r="B23" s="3151"/>
      <c r="C23" s="3151"/>
      <c r="D23" s="3151"/>
      <c r="E23" s="3151"/>
      <c r="F23" s="3151"/>
      <c r="G23" s="3151"/>
      <c r="H23" s="3151"/>
      <c r="I23" s="3151"/>
      <c r="J23" s="3151"/>
      <c r="K23" s="3151"/>
      <c r="L23" s="3151"/>
      <c r="M23" s="3151"/>
      <c r="N23" s="3151"/>
      <c r="O23" s="3151"/>
      <c r="P23" s="3151"/>
      <c r="Q23" s="3151"/>
      <c r="R23" s="3151"/>
      <c r="S23" s="3151"/>
      <c r="T23" s="3151"/>
      <c r="U23" s="3201"/>
      <c r="V23" s="1125"/>
      <c r="W23" s="1125"/>
      <c r="X23" s="1125"/>
      <c r="Y23" s="1125"/>
      <c r="Z23" s="1125"/>
      <c r="AA23" s="1125"/>
      <c r="AB23" s="1125"/>
      <c r="AC23" s="1125"/>
      <c r="AD23" s="1125"/>
      <c r="AE23" s="1125"/>
      <c r="AF23" s="1125"/>
      <c r="AG23" s="1125"/>
      <c r="AH23" s="1125"/>
      <c r="AI23" s="1125"/>
      <c r="AJ23" s="1125"/>
    </row>
    <row r="24" spans="1:36" s="1071" customFormat="1" ht="31.5" customHeight="1" x14ac:dyDescent="0.25">
      <c r="A24" s="3152" t="s">
        <v>0</v>
      </c>
      <c r="B24" s="3153"/>
      <c r="C24" s="3154"/>
      <c r="D24" s="3206" t="s">
        <v>444</v>
      </c>
      <c r="E24" s="3216" t="s">
        <v>490</v>
      </c>
      <c r="F24" s="3236" t="s">
        <v>445</v>
      </c>
      <c r="G24" s="3238" t="s">
        <v>446</v>
      </c>
      <c r="H24" s="3220"/>
      <c r="I24" s="3220"/>
      <c r="J24" s="3220"/>
      <c r="K24" s="3220"/>
      <c r="L24" s="3220"/>
      <c r="M24" s="3220"/>
      <c r="N24" s="3221"/>
      <c r="O24" s="3250" t="s">
        <v>489</v>
      </c>
      <c r="P24" s="3210"/>
      <c r="Q24" s="3210"/>
      <c r="R24" s="3210"/>
      <c r="S24" s="3210"/>
      <c r="T24" s="3210"/>
      <c r="U24" s="3240"/>
      <c r="V24" s="1126"/>
      <c r="W24" s="1126"/>
      <c r="X24" s="1126"/>
      <c r="Y24" s="1126"/>
      <c r="Z24" s="1126"/>
      <c r="AA24" s="1126"/>
      <c r="AB24" s="1126"/>
      <c r="AC24" s="1126"/>
      <c r="AD24" s="1126"/>
      <c r="AE24" s="1126"/>
      <c r="AF24" s="1126"/>
      <c r="AG24" s="1126"/>
      <c r="AH24" s="1126"/>
      <c r="AI24" s="1126"/>
      <c r="AJ24" s="1126"/>
    </row>
    <row r="25" spans="1:36" s="1075" customFormat="1" ht="52.5" customHeight="1" x14ac:dyDescent="0.5">
      <c r="A25" s="3232"/>
      <c r="B25" s="3233"/>
      <c r="C25" s="3234"/>
      <c r="D25" s="3218"/>
      <c r="E25" s="3235"/>
      <c r="F25" s="3237"/>
      <c r="G25" s="1072" t="s">
        <v>447</v>
      </c>
      <c r="H25" s="1073" t="s">
        <v>448</v>
      </c>
      <c r="I25" s="1073" t="s">
        <v>449</v>
      </c>
      <c r="J25" s="1073" t="s">
        <v>450</v>
      </c>
      <c r="K25" s="1073" t="s">
        <v>451</v>
      </c>
      <c r="L25" s="1073" t="s">
        <v>452</v>
      </c>
      <c r="M25" s="1257" t="s">
        <v>517</v>
      </c>
      <c r="N25" s="1261" t="s">
        <v>518</v>
      </c>
      <c r="O25" s="1207">
        <v>23833</v>
      </c>
      <c r="P25" s="1262" t="s">
        <v>501</v>
      </c>
      <c r="Q25" s="1262" t="s">
        <v>507</v>
      </c>
      <c r="R25" s="1205" t="s">
        <v>445</v>
      </c>
      <c r="S25" s="1178" t="s">
        <v>509</v>
      </c>
      <c r="T25" s="1256" t="s">
        <v>16</v>
      </c>
      <c r="U25" s="1263" t="s">
        <v>520</v>
      </c>
      <c r="V25" s="1127"/>
      <c r="W25" s="1127"/>
      <c r="X25" s="1127"/>
      <c r="Y25" s="1127"/>
      <c r="Z25" s="1127"/>
      <c r="AA25" s="1127"/>
      <c r="AB25" s="1127"/>
      <c r="AC25" s="1127"/>
      <c r="AD25" s="1127"/>
      <c r="AE25" s="1127"/>
      <c r="AF25" s="1127"/>
      <c r="AG25" s="1127"/>
      <c r="AH25" s="1127"/>
      <c r="AI25" s="1127"/>
      <c r="AJ25" s="1127"/>
    </row>
    <row r="26" spans="1:36" s="1071" customFormat="1" ht="15.75" x14ac:dyDescent="0.25">
      <c r="A26" s="1197" t="s">
        <v>454</v>
      </c>
      <c r="B26" s="1077"/>
      <c r="C26" s="1078"/>
      <c r="D26" s="1079">
        <f t="shared" ref="D26:M26" si="0">+D27+D33</f>
        <v>12599915.34</v>
      </c>
      <c r="E26" s="1079">
        <f t="shared" si="0"/>
        <v>3703046.88</v>
      </c>
      <c r="F26" s="1080">
        <f t="shared" si="0"/>
        <v>2561781.5499999998</v>
      </c>
      <c r="G26" s="1081">
        <f t="shared" si="0"/>
        <v>351920</v>
      </c>
      <c r="H26" s="1079">
        <f t="shared" si="0"/>
        <v>184077</v>
      </c>
      <c r="I26" s="1079">
        <f t="shared" si="0"/>
        <v>109077</v>
      </c>
      <c r="J26" s="1079">
        <f t="shared" si="0"/>
        <v>461917</v>
      </c>
      <c r="K26" s="1079">
        <f t="shared" si="0"/>
        <v>453417</v>
      </c>
      <c r="L26" s="1079">
        <f t="shared" si="0"/>
        <v>907693</v>
      </c>
      <c r="M26" s="1258">
        <f t="shared" si="0"/>
        <v>1823027</v>
      </c>
      <c r="N26" s="1082">
        <f>SUM(G26:L26)</f>
        <v>2468101</v>
      </c>
      <c r="O26" s="1208">
        <f>+O27+O33</f>
        <v>1168517</v>
      </c>
      <c r="P26" s="1208">
        <f>+P27+P33</f>
        <v>1420938.3599999999</v>
      </c>
      <c r="Q26" s="1208">
        <f>+Q27+Q33</f>
        <v>1193814</v>
      </c>
      <c r="R26" s="1169"/>
      <c r="S26" s="1152">
        <f>+S27+S33</f>
        <v>7486316.2400000002</v>
      </c>
      <c r="T26" s="1217">
        <f>+T27+T33</f>
        <v>5113599.0999999996</v>
      </c>
      <c r="U26" s="1206">
        <f>+U27+U33</f>
        <v>3783269.36</v>
      </c>
      <c r="V26" s="1227"/>
      <c r="W26" s="1126"/>
      <c r="X26" s="1126"/>
      <c r="Y26" s="1126"/>
      <c r="Z26" s="1126"/>
      <c r="AA26" s="1126"/>
      <c r="AB26" s="1126"/>
      <c r="AC26" s="1126"/>
      <c r="AD26" s="1126"/>
      <c r="AE26" s="1126"/>
      <c r="AF26" s="1126"/>
      <c r="AG26" s="1126"/>
      <c r="AH26" s="1126"/>
      <c r="AI26" s="1126"/>
      <c r="AJ26" s="1126"/>
    </row>
    <row r="27" spans="1:36" s="1071" customFormat="1" ht="15.75" x14ac:dyDescent="0.25">
      <c r="A27" s="1198"/>
      <c r="B27" s="1084" t="s">
        <v>455</v>
      </c>
      <c r="C27" s="1085"/>
      <c r="D27" s="1086">
        <f>SUM(D28:D32)</f>
        <v>7920555.3399999999</v>
      </c>
      <c r="E27" s="1086">
        <f>SUM(E28:E32)</f>
        <v>2138316.34</v>
      </c>
      <c r="F27" s="1087">
        <f t="shared" ref="F27:L27" si="1">SUM(F28:F32)</f>
        <v>81746.55</v>
      </c>
      <c r="G27" s="1088">
        <f t="shared" si="1"/>
        <v>105094</v>
      </c>
      <c r="H27" s="1086">
        <f t="shared" si="1"/>
        <v>102000</v>
      </c>
      <c r="I27" s="1086">
        <f t="shared" si="1"/>
        <v>102000</v>
      </c>
      <c r="J27" s="1086">
        <f t="shared" si="1"/>
        <v>102000</v>
      </c>
      <c r="K27" s="1086">
        <f t="shared" si="1"/>
        <v>102000</v>
      </c>
      <c r="L27" s="1086">
        <f t="shared" si="1"/>
        <v>212546</v>
      </c>
      <c r="M27" s="1259">
        <f>SUM(M28:M32)</f>
        <v>416546</v>
      </c>
      <c r="N27" s="1089">
        <f>SUM(N28:N32)</f>
        <v>725640</v>
      </c>
      <c r="O27" s="1209">
        <f t="shared" ref="O27:T27" si="2">SUM(O28:O32)</f>
        <v>825644</v>
      </c>
      <c r="P27" s="1223">
        <f t="shared" si="2"/>
        <v>821499.36</v>
      </c>
      <c r="Q27" s="1251">
        <f>SUM(Q28:Q32)</f>
        <v>811595</v>
      </c>
      <c r="R27" s="1204">
        <f t="shared" si="2"/>
        <v>0</v>
      </c>
      <c r="S27" s="1155">
        <f t="shared" si="2"/>
        <v>4597054.7</v>
      </c>
      <c r="T27" s="1162">
        <f t="shared" si="2"/>
        <v>3323500.64</v>
      </c>
      <c r="U27" s="1204">
        <f>SUM(U28:U32)</f>
        <v>2458738.36</v>
      </c>
      <c r="V27" s="1227">
        <f t="shared" ref="V27:V40" si="3">+S27+F27</f>
        <v>4678801.25</v>
      </c>
      <c r="W27" s="1126"/>
      <c r="X27" s="1126"/>
      <c r="Y27" s="1126"/>
      <c r="Z27" s="1126"/>
      <c r="AA27" s="1126"/>
      <c r="AB27" s="1126"/>
      <c r="AC27" s="1126"/>
      <c r="AD27" s="1126"/>
      <c r="AE27" s="1126"/>
      <c r="AF27" s="1126"/>
      <c r="AG27" s="1126"/>
      <c r="AH27" s="1126"/>
      <c r="AI27" s="1126"/>
      <c r="AJ27" s="1126"/>
    </row>
    <row r="28" spans="1:36" s="1091" customFormat="1" ht="15.75" x14ac:dyDescent="0.25">
      <c r="A28" s="1199"/>
      <c r="C28" s="1112" t="s">
        <v>456</v>
      </c>
      <c r="D28" s="1095">
        <v>6789250</v>
      </c>
      <c r="E28" s="1095">
        <v>1738750</v>
      </c>
      <c r="F28" s="1097">
        <f>+'3 จัดสรรเพื่อบริหาร'!D8</f>
        <v>0</v>
      </c>
      <c r="G28" s="1094"/>
      <c r="H28" s="1095"/>
      <c r="I28" s="1095"/>
      <c r="J28" s="1095"/>
      <c r="K28" s="1095"/>
      <c r="L28" s="1095"/>
      <c r="M28" s="1260">
        <f>+J28+K28+L28</f>
        <v>0</v>
      </c>
      <c r="N28" s="1096">
        <f>SUM(G28:L28)</f>
        <v>0</v>
      </c>
      <c r="O28" s="1210">
        <f>+'[3]1.รายการผูกพัน (สัญญาทั้งปี)'!$F$12</f>
        <v>721500</v>
      </c>
      <c r="P28" s="1224">
        <v>721500</v>
      </c>
      <c r="Q28" s="1224">
        <v>721500</v>
      </c>
      <c r="R28" s="207"/>
      <c r="S28" s="38">
        <f>+E28++O28+P28+Q28</f>
        <v>3903250</v>
      </c>
      <c r="T28" s="1100">
        <f>+D28-S28</f>
        <v>2886000</v>
      </c>
      <c r="U28" s="207">
        <f>+O28+P28+Q28</f>
        <v>2164500</v>
      </c>
      <c r="V28" s="1229">
        <f t="shared" si="3"/>
        <v>3903250</v>
      </c>
    </row>
    <row r="29" spans="1:36" s="1091" customFormat="1" ht="15.75" x14ac:dyDescent="0.25">
      <c r="A29" s="1199"/>
      <c r="C29" s="1112" t="s">
        <v>77</v>
      </c>
      <c r="D29" s="1095">
        <v>10165</v>
      </c>
      <c r="E29" s="1095">
        <v>4066</v>
      </c>
      <c r="F29" s="1097">
        <f>+'3 จัดสรรเพื่อบริหาร'!D9</f>
        <v>13337.55</v>
      </c>
      <c r="G29" s="1094"/>
      <c r="H29" s="1095"/>
      <c r="I29" s="1095"/>
      <c r="J29" s="1095"/>
      <c r="K29" s="1095"/>
      <c r="L29" s="1095"/>
      <c r="M29" s="1260">
        <f>+J29+K29+L29</f>
        <v>0</v>
      </c>
      <c r="N29" s="1096">
        <f>SUM(G29:L29)</f>
        <v>0</v>
      </c>
      <c r="O29" s="1210"/>
      <c r="P29" s="1224">
        <v>2033</v>
      </c>
      <c r="Q29" s="1247"/>
      <c r="R29" s="207"/>
      <c r="S29" s="38">
        <f>+E29++O29+P29+Q29</f>
        <v>6099</v>
      </c>
      <c r="T29" s="1100">
        <f>+D29-S29</f>
        <v>4066</v>
      </c>
      <c r="U29" s="207">
        <f>+O29+P29+Q29</f>
        <v>2033</v>
      </c>
      <c r="V29" s="1229">
        <f t="shared" si="3"/>
        <v>19436.55</v>
      </c>
    </row>
    <row r="30" spans="1:36" s="1091" customFormat="1" ht="15.75" x14ac:dyDescent="0.25">
      <c r="A30" s="1199"/>
      <c r="C30" s="1112" t="s">
        <v>78</v>
      </c>
      <c r="D30" s="1095">
        <f>+E30+N30</f>
        <v>902000</v>
      </c>
      <c r="E30" s="1095">
        <v>328000</v>
      </c>
      <c r="F30" s="1097">
        <f>+'3 จัดสรรเพื่อบริหาร'!D10</f>
        <v>0</v>
      </c>
      <c r="G30" s="1094">
        <v>82000</v>
      </c>
      <c r="H30" s="1095">
        <v>82000</v>
      </c>
      <c r="I30" s="1095">
        <v>82000</v>
      </c>
      <c r="J30" s="1095">
        <v>82000</v>
      </c>
      <c r="K30" s="1095">
        <v>82000</v>
      </c>
      <c r="L30" s="1095">
        <f>82000+82000</f>
        <v>164000</v>
      </c>
      <c r="M30" s="1260">
        <f>+J30+K30+L30</f>
        <v>328000</v>
      </c>
      <c r="N30" s="1096">
        <f>SUM(G30:L30)</f>
        <v>574000</v>
      </c>
      <c r="O30" s="1210">
        <v>82000</v>
      </c>
      <c r="P30" s="1224">
        <v>82000</v>
      </c>
      <c r="Q30" s="1247">
        <v>82000</v>
      </c>
      <c r="R30" s="207"/>
      <c r="S30" s="38">
        <f>+E30++O30+P30+Q30</f>
        <v>574000</v>
      </c>
      <c r="T30" s="1100">
        <f>+D30-S30</f>
        <v>328000</v>
      </c>
      <c r="U30" s="207">
        <f>+O30+P30+Q30</f>
        <v>246000</v>
      </c>
      <c r="V30" s="1229">
        <f t="shared" si="3"/>
        <v>574000</v>
      </c>
    </row>
    <row r="31" spans="1:36" s="1091" customFormat="1" ht="15" customHeight="1" x14ac:dyDescent="0.25">
      <c r="A31" s="1199"/>
      <c r="C31" s="1112" t="s">
        <v>79</v>
      </c>
      <c r="D31" s="1095">
        <f>+E31+N31</f>
        <v>165510.34</v>
      </c>
      <c r="E31" s="1095">
        <f>45510.34</f>
        <v>45510.34</v>
      </c>
      <c r="F31" s="1097">
        <f>+'3 จัดสรรเพื่อบริหาร'!D11</f>
        <v>0</v>
      </c>
      <c r="G31" s="1094">
        <v>18094</v>
      </c>
      <c r="H31" s="1095">
        <v>15000</v>
      </c>
      <c r="I31" s="1095">
        <v>15000</v>
      </c>
      <c r="J31" s="1095">
        <v>15000</v>
      </c>
      <c r="K31" s="1095">
        <v>15000</v>
      </c>
      <c r="L31" s="1095">
        <f>15000+15000+11906</f>
        <v>41906</v>
      </c>
      <c r="M31" s="1260">
        <f>+J31+K31+L31</f>
        <v>71906</v>
      </c>
      <c r="N31" s="1096">
        <f>SUM(G31:L31)</f>
        <v>120000</v>
      </c>
      <c r="O31" s="1210">
        <v>18094</v>
      </c>
      <c r="P31" s="1224">
        <v>13266.36</v>
      </c>
      <c r="Q31" s="1247">
        <v>8095</v>
      </c>
      <c r="R31" s="207"/>
      <c r="S31" s="38">
        <f>+E31++O31+P31+Q31</f>
        <v>84965.7</v>
      </c>
      <c r="T31" s="1100">
        <f>+D31-S31</f>
        <v>80544.639999999999</v>
      </c>
      <c r="U31" s="207">
        <f>+O31+P31+Q31</f>
        <v>39455.360000000001</v>
      </c>
      <c r="V31" s="1229">
        <f t="shared" si="3"/>
        <v>84965.7</v>
      </c>
      <c r="W31" s="1173"/>
    </row>
    <row r="32" spans="1:36" s="1091" customFormat="1" ht="15.75" x14ac:dyDescent="0.25">
      <c r="A32" s="1199"/>
      <c r="C32" s="1112" t="s">
        <v>80</v>
      </c>
      <c r="D32" s="1095">
        <f>+E32+N32</f>
        <v>53630</v>
      </c>
      <c r="E32" s="1095">
        <f>18630+3360</f>
        <v>21990</v>
      </c>
      <c r="F32" s="1097">
        <f>+'3 จัดสรรเพื่อบริหาร'!D12</f>
        <v>68409</v>
      </c>
      <c r="G32" s="1094">
        <v>5000</v>
      </c>
      <c r="H32" s="1095">
        <v>5000</v>
      </c>
      <c r="I32" s="1095">
        <v>5000</v>
      </c>
      <c r="J32" s="1095">
        <v>5000</v>
      </c>
      <c r="K32" s="1095">
        <v>5000</v>
      </c>
      <c r="L32" s="1095">
        <f>5000+5000-3360</f>
        <v>6640</v>
      </c>
      <c r="M32" s="1260">
        <f>+J32+K32+L32</f>
        <v>16640</v>
      </c>
      <c r="N32" s="1096">
        <f>SUM(G32:L32)</f>
        <v>31640</v>
      </c>
      <c r="O32" s="1210">
        <v>4050</v>
      </c>
      <c r="P32" s="1224">
        <v>2700</v>
      </c>
      <c r="Q32" s="1247"/>
      <c r="R32" s="207"/>
      <c r="S32" s="38">
        <f>+E32++O32+P32+Q32</f>
        <v>28740</v>
      </c>
      <c r="T32" s="1100">
        <f>+D32-S32</f>
        <v>24890</v>
      </c>
      <c r="U32" s="207">
        <f>+O32+P32+Q32</f>
        <v>6750</v>
      </c>
      <c r="V32" s="1229">
        <f t="shared" si="3"/>
        <v>97149</v>
      </c>
      <c r="W32" s="1173"/>
    </row>
    <row r="33" spans="1:36" s="1071" customFormat="1" ht="15.75" x14ac:dyDescent="0.25">
      <c r="A33" s="1198"/>
      <c r="B33" s="1084" t="s">
        <v>457</v>
      </c>
      <c r="C33" s="1085"/>
      <c r="D33" s="1086">
        <f t="shared" ref="D33:M33" si="4">SUM(D34:D40)</f>
        <v>4679360</v>
      </c>
      <c r="E33" s="1086">
        <f t="shared" si="4"/>
        <v>1564730.54</v>
      </c>
      <c r="F33" s="1087">
        <f t="shared" si="4"/>
        <v>2480035</v>
      </c>
      <c r="G33" s="1088">
        <f t="shared" si="4"/>
        <v>246826</v>
      </c>
      <c r="H33" s="1086">
        <f t="shared" si="4"/>
        <v>82077</v>
      </c>
      <c r="I33" s="1086">
        <f t="shared" si="4"/>
        <v>7077</v>
      </c>
      <c r="J33" s="1086">
        <f t="shared" si="4"/>
        <v>359917</v>
      </c>
      <c r="K33" s="1086">
        <f t="shared" si="4"/>
        <v>351417</v>
      </c>
      <c r="L33" s="1086">
        <f t="shared" si="4"/>
        <v>695147</v>
      </c>
      <c r="M33" s="1259">
        <f t="shared" si="4"/>
        <v>1406481</v>
      </c>
      <c r="N33" s="1089">
        <f>SUM(N34:N40)</f>
        <v>1742461</v>
      </c>
      <c r="O33" s="1209">
        <f>SUM(O34:O40)</f>
        <v>342873</v>
      </c>
      <c r="P33" s="1223">
        <f>SUM(P34:P40)</f>
        <v>599439</v>
      </c>
      <c r="Q33" s="1246">
        <f>SUM(Q34:Q40)</f>
        <v>382219</v>
      </c>
      <c r="R33" s="1204">
        <f>SUM(R34:R38)</f>
        <v>0</v>
      </c>
      <c r="S33" s="1155">
        <f>SUM(S34:S40)</f>
        <v>2889261.54</v>
      </c>
      <c r="T33" s="1162">
        <f>SUM(T34:T40)</f>
        <v>1790098.46</v>
      </c>
      <c r="U33" s="1204">
        <f>SUM(U34:U40)</f>
        <v>1324531</v>
      </c>
      <c r="V33" s="1227">
        <f t="shared" si="3"/>
        <v>5369296.54</v>
      </c>
      <c r="W33" s="1167"/>
      <c r="X33" s="1126"/>
      <c r="Y33" s="1126"/>
      <c r="Z33" s="1126"/>
      <c r="AA33" s="1126"/>
      <c r="AB33" s="1126"/>
      <c r="AC33" s="1126"/>
      <c r="AD33" s="1126"/>
      <c r="AE33" s="1126"/>
      <c r="AF33" s="1126"/>
      <c r="AG33" s="1126"/>
      <c r="AH33" s="1126"/>
      <c r="AI33" s="1126"/>
      <c r="AJ33" s="1126"/>
    </row>
    <row r="34" spans="1:36" s="1091" customFormat="1" ht="15.75" x14ac:dyDescent="0.25">
      <c r="A34" s="1199"/>
      <c r="C34" s="1112" t="s">
        <v>42</v>
      </c>
      <c r="D34" s="1095">
        <v>2892520</v>
      </c>
      <c r="E34" s="1095">
        <f>1148000</f>
        <v>1148000</v>
      </c>
      <c r="F34" s="1097">
        <f>+'3 จัดสรรเพื่อบริหาร'!D15</f>
        <v>796000</v>
      </c>
      <c r="G34" s="1094"/>
      <c r="H34" s="1095"/>
      <c r="I34" s="1095"/>
      <c r="J34" s="1095">
        <v>255420</v>
      </c>
      <c r="K34" s="1095">
        <v>255420</v>
      </c>
      <c r="L34" s="1095">
        <f>255420*2</f>
        <v>510840</v>
      </c>
      <c r="M34" s="1260">
        <f t="shared" ref="M34:M40" si="5">SUM(J34:L34)</f>
        <v>1021680</v>
      </c>
      <c r="N34" s="1096">
        <f t="shared" ref="N34:N40" si="6">SUM(G34:L34)</f>
        <v>1021680</v>
      </c>
      <c r="O34" s="1210">
        <v>212000</v>
      </c>
      <c r="P34" s="1224">
        <v>255420</v>
      </c>
      <c r="Q34" s="1247">
        <v>255420</v>
      </c>
      <c r="R34" s="207"/>
      <c r="S34" s="38">
        <f>+O34+E34+P34+Q34</f>
        <v>1870840</v>
      </c>
      <c r="T34" s="1100">
        <f t="shared" ref="T34:T40" si="7">+D34-S34</f>
        <v>1021680</v>
      </c>
      <c r="U34" s="207">
        <f t="shared" ref="U34:U40" si="8">+O34+P34+Q34</f>
        <v>722840</v>
      </c>
      <c r="V34" s="1229">
        <f t="shared" si="3"/>
        <v>2666840</v>
      </c>
      <c r="W34" s="1173"/>
    </row>
    <row r="35" spans="1:36" s="1091" customFormat="1" ht="15.75" x14ac:dyDescent="0.25">
      <c r="A35" s="1199"/>
      <c r="C35" s="1174" t="s">
        <v>59</v>
      </c>
      <c r="D35" s="1095">
        <v>580200</v>
      </c>
      <c r="E35" s="1175">
        <v>225000</v>
      </c>
      <c r="F35" s="1176">
        <f>+'3 จัดสรรเพื่อบริหาร'!D16</f>
        <v>267714</v>
      </c>
      <c r="G35" s="1094"/>
      <c r="H35" s="1095"/>
      <c r="I35" s="1095"/>
      <c r="J35" s="1095">
        <v>50740</v>
      </c>
      <c r="K35" s="1095">
        <v>50740</v>
      </c>
      <c r="L35" s="1095">
        <f>50740*2</f>
        <v>101480</v>
      </c>
      <c r="M35" s="1260">
        <f t="shared" si="5"/>
        <v>202960</v>
      </c>
      <c r="N35" s="1096">
        <f t="shared" si="6"/>
        <v>202960</v>
      </c>
      <c r="O35" s="1210">
        <v>45000</v>
      </c>
      <c r="P35" s="1224">
        <v>51700</v>
      </c>
      <c r="Q35" s="1247">
        <v>51700</v>
      </c>
      <c r="R35" s="207"/>
      <c r="S35" s="38">
        <f t="shared" ref="S35:S40" si="9">+O35+E35+P35+Q35</f>
        <v>373400</v>
      </c>
      <c r="T35" s="1100">
        <f t="shared" si="7"/>
        <v>206800</v>
      </c>
      <c r="U35" s="207">
        <f t="shared" si="8"/>
        <v>148400</v>
      </c>
      <c r="V35" s="1229">
        <f t="shared" si="3"/>
        <v>641114</v>
      </c>
    </row>
    <row r="36" spans="1:36" s="1091" customFormat="1" ht="15.75" x14ac:dyDescent="0.25">
      <c r="A36" s="1199"/>
      <c r="C36" s="1112" t="s">
        <v>60</v>
      </c>
      <c r="D36" s="1095">
        <v>446640</v>
      </c>
      <c r="E36" s="1095">
        <v>180000</v>
      </c>
      <c r="F36" s="1097">
        <f>+'3 จัดสรรเพื่อบริหาร'!D17</f>
        <v>166000</v>
      </c>
      <c r="G36" s="1094"/>
      <c r="H36" s="1095"/>
      <c r="I36" s="1095"/>
      <c r="J36" s="1095">
        <v>38180</v>
      </c>
      <c r="K36" s="1095">
        <v>38180</v>
      </c>
      <c r="L36" s="1095">
        <f>(38180*2)-620</f>
        <v>75740</v>
      </c>
      <c r="M36" s="1260">
        <f t="shared" si="5"/>
        <v>152100</v>
      </c>
      <c r="N36" s="1096">
        <f t="shared" si="6"/>
        <v>152100</v>
      </c>
      <c r="O36" s="1210">
        <v>36000</v>
      </c>
      <c r="P36" s="1224">
        <v>38860</v>
      </c>
      <c r="Q36" s="1247">
        <v>37859</v>
      </c>
      <c r="R36" s="207"/>
      <c r="S36" s="38">
        <f t="shared" si="9"/>
        <v>292719</v>
      </c>
      <c r="T36" s="1100">
        <f t="shared" si="7"/>
        <v>153921</v>
      </c>
      <c r="U36" s="207">
        <f t="shared" si="8"/>
        <v>112719</v>
      </c>
      <c r="V36" s="1229">
        <f t="shared" si="3"/>
        <v>458719</v>
      </c>
      <c r="W36" s="1173"/>
    </row>
    <row r="37" spans="1:36" s="1091" customFormat="1" ht="15.75" x14ac:dyDescent="0.25">
      <c r="A37" s="1199"/>
      <c r="C37" s="1112" t="s">
        <v>327</v>
      </c>
      <c r="D37" s="1224">
        <f>14000-12000</f>
        <v>2000</v>
      </c>
      <c r="E37" s="1095">
        <v>215</v>
      </c>
      <c r="F37" s="1097">
        <f>+'3 จัดสรรเพื่อบริหาร'!D21</f>
        <v>0</v>
      </c>
      <c r="G37" s="1094"/>
      <c r="H37" s="1095">
        <v>2757</v>
      </c>
      <c r="I37" s="1095">
        <v>2757</v>
      </c>
      <c r="J37" s="1095">
        <v>2757</v>
      </c>
      <c r="K37" s="1095">
        <v>2757</v>
      </c>
      <c r="L37" s="1095">
        <v>2757</v>
      </c>
      <c r="M37" s="1260">
        <f t="shared" si="5"/>
        <v>8271</v>
      </c>
      <c r="N37" s="1096">
        <f t="shared" si="6"/>
        <v>13785</v>
      </c>
      <c r="O37" s="1210"/>
      <c r="P37" s="1224"/>
      <c r="Q37" s="1247">
        <v>100</v>
      </c>
      <c r="R37" s="207"/>
      <c r="S37" s="38">
        <f t="shared" si="9"/>
        <v>315</v>
      </c>
      <c r="T37" s="1100">
        <f t="shared" si="7"/>
        <v>1685</v>
      </c>
      <c r="U37" s="207">
        <f t="shared" si="8"/>
        <v>100</v>
      </c>
      <c r="V37" s="1229">
        <f t="shared" si="3"/>
        <v>315</v>
      </c>
    </row>
    <row r="38" spans="1:36" s="1091" customFormat="1" ht="15.75" x14ac:dyDescent="0.25">
      <c r="A38" s="1199"/>
      <c r="C38" s="1112" t="s">
        <v>328</v>
      </c>
      <c r="D38" s="1095">
        <v>32000</v>
      </c>
      <c r="E38" s="1095">
        <v>6070</v>
      </c>
      <c r="F38" s="1097">
        <f>+'3 จัดสรรเพื่อบริหาร'!D22</f>
        <v>43180</v>
      </c>
      <c r="G38" s="1094">
        <v>4320</v>
      </c>
      <c r="H38" s="1095">
        <v>4320</v>
      </c>
      <c r="I38" s="1095">
        <v>4320</v>
      </c>
      <c r="J38" s="1095">
        <v>4320</v>
      </c>
      <c r="K38" s="1095">
        <v>4320</v>
      </c>
      <c r="L38" s="1095">
        <f>4320+10</f>
        <v>4330</v>
      </c>
      <c r="M38" s="1260">
        <f t="shared" si="5"/>
        <v>12970</v>
      </c>
      <c r="N38" s="1096">
        <f t="shared" si="6"/>
        <v>25930</v>
      </c>
      <c r="O38" s="1210"/>
      <c r="P38" s="1224">
        <v>4800</v>
      </c>
      <c r="Q38" s="1247">
        <v>3140</v>
      </c>
      <c r="R38" s="207"/>
      <c r="S38" s="38">
        <f t="shared" si="9"/>
        <v>14010</v>
      </c>
      <c r="T38" s="1100">
        <f t="shared" si="7"/>
        <v>17990</v>
      </c>
      <c r="U38" s="207">
        <f t="shared" si="8"/>
        <v>7940</v>
      </c>
      <c r="V38" s="1229">
        <f t="shared" si="3"/>
        <v>57190</v>
      </c>
    </row>
    <row r="39" spans="1:36" s="1091" customFormat="1" ht="15.75" x14ac:dyDescent="0.25">
      <c r="A39" s="1200" t="s">
        <v>458</v>
      </c>
      <c r="C39" s="1177" t="s">
        <v>486</v>
      </c>
      <c r="D39" s="38">
        <v>296000</v>
      </c>
      <c r="E39" s="38">
        <v>5445.54</v>
      </c>
      <c r="F39" s="1098">
        <f>+'2 จัดสรรให้ส่วนฝ่าย'!D13</f>
        <v>20972</v>
      </c>
      <c r="G39" s="1094">
        <v>60000</v>
      </c>
      <c r="H39" s="1095">
        <f>5000+70000</f>
        <v>75000</v>
      </c>
      <c r="I39" s="1095"/>
      <c r="J39" s="1095">
        <f>5000+3500</f>
        <v>8500</v>
      </c>
      <c r="K39" s="1095"/>
      <c r="L39" s="1095"/>
      <c r="M39" s="1260">
        <f t="shared" si="5"/>
        <v>8500</v>
      </c>
      <c r="N39" s="1096">
        <f t="shared" si="6"/>
        <v>143500</v>
      </c>
      <c r="O39" s="1210">
        <v>49873</v>
      </c>
      <c r="P39" s="1224">
        <v>66153</v>
      </c>
      <c r="Q39" s="1247"/>
      <c r="R39" s="207"/>
      <c r="S39" s="38">
        <f>+O39+E39+P39+Q39</f>
        <v>121471.54000000001</v>
      </c>
      <c r="T39" s="1100">
        <f t="shared" si="7"/>
        <v>174528.46</v>
      </c>
      <c r="U39" s="207">
        <f t="shared" si="8"/>
        <v>116026</v>
      </c>
      <c r="V39" s="1229">
        <f t="shared" si="3"/>
        <v>142443.54</v>
      </c>
      <c r="W39" s="1128"/>
      <c r="X39" s="1128"/>
      <c r="Y39" s="1128"/>
      <c r="Z39" s="1128"/>
      <c r="AA39" s="1128"/>
      <c r="AB39" s="1128"/>
      <c r="AC39" s="1128"/>
      <c r="AD39" s="1128"/>
      <c r="AE39" s="1128"/>
      <c r="AF39" s="1128"/>
      <c r="AG39" s="1128"/>
      <c r="AH39" s="1128"/>
      <c r="AI39" s="1128"/>
      <c r="AJ39" s="1128"/>
    </row>
    <row r="40" spans="1:36" s="1091" customFormat="1" ht="15.75" x14ac:dyDescent="0.25">
      <c r="A40" s="1200" t="s">
        <v>458</v>
      </c>
      <c r="C40" s="1177" t="s">
        <v>487</v>
      </c>
      <c r="D40" s="38">
        <f>396000+34000</f>
        <v>430000</v>
      </c>
      <c r="E40" s="38"/>
      <c r="F40" s="1098">
        <f>+'[3]2.รายการ คชจ.ส่วนกลาง'!$AN$3</f>
        <v>1186169</v>
      </c>
      <c r="G40" s="1094">
        <f>30206+152300</f>
        <v>182506</v>
      </c>
      <c r="H40" s="1095"/>
      <c r="I40" s="1095"/>
      <c r="J40" s="1095"/>
      <c r="K40" s="1095">
        <f>213494-213494</f>
        <v>0</v>
      </c>
      <c r="L40" s="1095"/>
      <c r="M40" s="1260">
        <f t="shared" si="5"/>
        <v>0</v>
      </c>
      <c r="N40" s="1096">
        <f t="shared" si="6"/>
        <v>182506</v>
      </c>
      <c r="O40" s="1210"/>
      <c r="P40" s="1224">
        <v>182506</v>
      </c>
      <c r="Q40" s="1247">
        <v>34000</v>
      </c>
      <c r="R40" s="207"/>
      <c r="S40" s="38">
        <f t="shared" si="9"/>
        <v>216506</v>
      </c>
      <c r="T40" s="1100">
        <f t="shared" si="7"/>
        <v>213494</v>
      </c>
      <c r="U40" s="207">
        <f t="shared" si="8"/>
        <v>216506</v>
      </c>
      <c r="V40" s="1229">
        <f t="shared" si="3"/>
        <v>1402675</v>
      </c>
      <c r="W40" s="1128"/>
      <c r="X40" s="1128"/>
      <c r="Y40" s="1128"/>
      <c r="Z40" s="1128"/>
      <c r="AA40" s="1128"/>
      <c r="AB40" s="1128"/>
      <c r="AC40" s="1128"/>
      <c r="AD40" s="1128"/>
      <c r="AE40" s="1128"/>
      <c r="AF40" s="1128"/>
      <c r="AG40" s="1128"/>
      <c r="AH40" s="1128"/>
      <c r="AI40" s="1128"/>
      <c r="AJ40" s="1128"/>
    </row>
    <row r="41" spans="1:36" s="1071" customFormat="1" ht="15.75" x14ac:dyDescent="0.25">
      <c r="A41" s="1201" t="s">
        <v>459</v>
      </c>
      <c r="B41" s="1106"/>
      <c r="C41" s="1107"/>
      <c r="D41" s="1108">
        <f t="shared" ref="D41:M41" si="10">SUM(D42:D48)</f>
        <v>5161158.76</v>
      </c>
      <c r="E41" s="1108">
        <f t="shared" si="10"/>
        <v>1796665.69</v>
      </c>
      <c r="F41" s="1109">
        <f t="shared" si="10"/>
        <v>0</v>
      </c>
      <c r="G41" s="1110">
        <f t="shared" si="10"/>
        <v>107326</v>
      </c>
      <c r="H41" s="1108">
        <f t="shared" si="10"/>
        <v>107315</v>
      </c>
      <c r="I41" s="1108">
        <f t="shared" si="10"/>
        <v>107315</v>
      </c>
      <c r="J41" s="1108">
        <f t="shared" si="10"/>
        <v>107315</v>
      </c>
      <c r="K41" s="1108">
        <f t="shared" si="10"/>
        <v>107315</v>
      </c>
      <c r="L41" s="1108">
        <f t="shared" si="10"/>
        <v>214647</v>
      </c>
      <c r="M41" s="1259">
        <f t="shared" si="10"/>
        <v>429277</v>
      </c>
      <c r="N41" s="1111">
        <f>SUM(N42:N48)</f>
        <v>751233</v>
      </c>
      <c r="O41" s="1211">
        <f>SUM(O42:O48)</f>
        <v>456911.38</v>
      </c>
      <c r="P41" s="1216">
        <f>SUM(P42:P48)</f>
        <v>462755.26999999996</v>
      </c>
      <c r="Q41" s="1216">
        <f>SUM(Q42:R48)</f>
        <v>448102</v>
      </c>
      <c r="R41" s="1206"/>
      <c r="S41" s="1159">
        <f>SUM(S42:S48)</f>
        <v>3164434.34</v>
      </c>
      <c r="T41" s="1218">
        <f>SUM(T42:T48)</f>
        <v>1996724.42</v>
      </c>
      <c r="U41" s="1206">
        <f>SUM(U42:U48)</f>
        <v>1367768.65</v>
      </c>
      <c r="V41" s="1126"/>
      <c r="W41" s="1126"/>
      <c r="X41" s="1126"/>
      <c r="Y41" s="1126"/>
      <c r="Z41" s="1126"/>
      <c r="AA41" s="1126"/>
      <c r="AB41" s="1126"/>
      <c r="AC41" s="1126"/>
      <c r="AD41" s="1126"/>
      <c r="AE41" s="1126"/>
      <c r="AF41" s="1126"/>
      <c r="AG41" s="1126"/>
      <c r="AH41" s="1126"/>
      <c r="AI41" s="1126"/>
      <c r="AJ41" s="1126"/>
    </row>
    <row r="42" spans="1:36" s="1091" customFormat="1" ht="15.75" x14ac:dyDescent="0.25">
      <c r="A42" s="1199"/>
      <c r="B42" s="1091" t="s">
        <v>460</v>
      </c>
      <c r="C42" s="1112"/>
      <c r="D42" s="1095">
        <v>855700</v>
      </c>
      <c r="E42" s="1095">
        <v>328309.27999999997</v>
      </c>
      <c r="F42" s="1097">
        <f>+'3 จัดสรรเพื่อบริหาร'!D29</f>
        <v>0</v>
      </c>
      <c r="G42" s="1094">
        <v>75340</v>
      </c>
      <c r="H42" s="1095">
        <v>75340</v>
      </c>
      <c r="I42" s="1095">
        <v>75340</v>
      </c>
      <c r="J42" s="1095">
        <v>75340</v>
      </c>
      <c r="K42" s="1095">
        <v>75340</v>
      </c>
      <c r="L42" s="1095">
        <f>75340+75351</f>
        <v>150691</v>
      </c>
      <c r="M42" s="1260">
        <f>SUM(J42:L42)</f>
        <v>301371</v>
      </c>
      <c r="N42" s="1096">
        <f t="shared" ref="N42:N48" si="11">SUM(G42:L42)</f>
        <v>527391</v>
      </c>
      <c r="O42" s="1210">
        <v>67917.899999999994</v>
      </c>
      <c r="P42" s="1224">
        <v>61809.67</v>
      </c>
      <c r="Q42" s="1247">
        <v>63627</v>
      </c>
      <c r="R42" s="207"/>
      <c r="S42" s="38">
        <f t="shared" ref="S42:S48" si="12">+O42+E42+P42+Q42</f>
        <v>521663.84999999992</v>
      </c>
      <c r="T42" s="1100">
        <f t="shared" ref="T42:T47" si="13">+D42-S42</f>
        <v>334036.15000000008</v>
      </c>
      <c r="U42" s="207">
        <f>+O42+P42+Q42</f>
        <v>193354.57</v>
      </c>
      <c r="V42" s="1128"/>
    </row>
    <row r="43" spans="1:36" s="1091" customFormat="1" ht="15.75" x14ac:dyDescent="0.25">
      <c r="A43" s="1199"/>
      <c r="B43" s="1091" t="s">
        <v>461</v>
      </c>
      <c r="C43" s="1112"/>
      <c r="D43" s="1095">
        <v>49000</v>
      </c>
      <c r="E43" s="1095">
        <v>20232.350000000002</v>
      </c>
      <c r="F43" s="1097">
        <f>+'3 จัดสรรเพื่อบริหาร'!D30</f>
        <v>0</v>
      </c>
      <c r="G43" s="1094">
        <v>4110</v>
      </c>
      <c r="H43" s="1095">
        <v>4110</v>
      </c>
      <c r="I43" s="1095">
        <v>4110</v>
      </c>
      <c r="J43" s="1095">
        <v>4110</v>
      </c>
      <c r="K43" s="1095">
        <v>4110</v>
      </c>
      <c r="L43" s="1095">
        <f>4110+4108</f>
        <v>8218</v>
      </c>
      <c r="M43" s="1260">
        <f t="shared" ref="M43:M48" si="14">SUM(J43:L43)</f>
        <v>16438</v>
      </c>
      <c r="N43" s="1096">
        <f t="shared" si="11"/>
        <v>28768</v>
      </c>
      <c r="O43" s="1210">
        <v>3346</v>
      </c>
      <c r="P43" s="1224">
        <v>6702</v>
      </c>
      <c r="Q43" s="1247"/>
      <c r="R43" s="207"/>
      <c r="S43" s="38">
        <f t="shared" si="12"/>
        <v>30280.350000000002</v>
      </c>
      <c r="T43" s="1100">
        <f t="shared" si="13"/>
        <v>18719.649999999998</v>
      </c>
      <c r="U43" s="207">
        <f t="shared" ref="U43:U48" si="15">+O43+P43+Q43</f>
        <v>10048</v>
      </c>
      <c r="V43" s="1128"/>
    </row>
    <row r="44" spans="1:36" s="1091" customFormat="1" ht="15.75" x14ac:dyDescent="0.25">
      <c r="A44" s="1199"/>
      <c r="B44" s="1091" t="s">
        <v>462</v>
      </c>
      <c r="C44" s="1112"/>
      <c r="D44" s="1095">
        <v>122254</v>
      </c>
      <c r="E44" s="1095">
        <v>19840.61</v>
      </c>
      <c r="F44" s="1097">
        <f>+'3 จัดสรรเพื่อบริหาร'!D31</f>
        <v>0</v>
      </c>
      <c r="G44" s="1094">
        <v>14630</v>
      </c>
      <c r="H44" s="1095">
        <v>14630</v>
      </c>
      <c r="I44" s="1095">
        <v>14630</v>
      </c>
      <c r="J44" s="1095">
        <v>14630</v>
      </c>
      <c r="K44" s="1095">
        <v>14630</v>
      </c>
      <c r="L44" s="1095">
        <f>14630+14633</f>
        <v>29263</v>
      </c>
      <c r="M44" s="1260">
        <f t="shared" si="14"/>
        <v>58523</v>
      </c>
      <c r="N44" s="1096">
        <f t="shared" si="11"/>
        <v>102413</v>
      </c>
      <c r="O44" s="1210">
        <v>3951</v>
      </c>
      <c r="P44" s="1224">
        <v>3970.19</v>
      </c>
      <c r="Q44" s="75">
        <v>3810</v>
      </c>
      <c r="R44" s="207"/>
      <c r="S44" s="38">
        <f t="shared" si="12"/>
        <v>31571.8</v>
      </c>
      <c r="T44" s="1100">
        <f t="shared" si="13"/>
        <v>90682.2</v>
      </c>
      <c r="U44" s="207">
        <f t="shared" si="15"/>
        <v>11731.19</v>
      </c>
      <c r="V44" s="1128"/>
    </row>
    <row r="45" spans="1:36" s="1091" customFormat="1" ht="15.75" x14ac:dyDescent="0.25">
      <c r="A45" s="1199"/>
      <c r="B45" s="1091" t="s">
        <v>463</v>
      </c>
      <c r="C45" s="1112"/>
      <c r="D45" s="1095">
        <v>49000</v>
      </c>
      <c r="E45" s="1095">
        <v>9684</v>
      </c>
      <c r="F45" s="1097">
        <f>+'3 จัดสรรเพื่อบริหาร'!D32</f>
        <v>0</v>
      </c>
      <c r="G45" s="1094">
        <f>5615+11</f>
        <v>5626</v>
      </c>
      <c r="H45" s="1095">
        <v>5615</v>
      </c>
      <c r="I45" s="1095">
        <v>5615</v>
      </c>
      <c r="J45" s="1095">
        <v>5615</v>
      </c>
      <c r="K45" s="1095">
        <v>5615</v>
      </c>
      <c r="L45" s="1095">
        <f>5615+5615</f>
        <v>11230</v>
      </c>
      <c r="M45" s="1260">
        <f t="shared" si="14"/>
        <v>22460</v>
      </c>
      <c r="N45" s="1096">
        <f t="shared" si="11"/>
        <v>39316</v>
      </c>
      <c r="O45" s="1210">
        <v>1027</v>
      </c>
      <c r="P45" s="1224">
        <v>9612</v>
      </c>
      <c r="Q45" s="1247"/>
      <c r="R45" s="207"/>
      <c r="S45" s="38">
        <f t="shared" si="12"/>
        <v>20323</v>
      </c>
      <c r="T45" s="1100">
        <f t="shared" si="13"/>
        <v>28677</v>
      </c>
      <c r="U45" s="207">
        <f t="shared" si="15"/>
        <v>10639</v>
      </c>
      <c r="V45" s="1128"/>
    </row>
    <row r="46" spans="1:36" s="1091" customFormat="1" ht="15.75" x14ac:dyDescent="0.25">
      <c r="A46" s="1199"/>
      <c r="B46" s="1091" t="s">
        <v>464</v>
      </c>
      <c r="C46" s="1112"/>
      <c r="D46" s="1095">
        <v>3992919</v>
      </c>
      <c r="E46" s="1095">
        <v>1379658</v>
      </c>
      <c r="F46" s="1097">
        <f>+'3 จัดสรรเพื่อบริหาร'!D33</f>
        <v>0</v>
      </c>
      <c r="G46" s="1094"/>
      <c r="H46" s="1095"/>
      <c r="I46" s="1095"/>
      <c r="J46" s="1095"/>
      <c r="K46" s="1095"/>
      <c r="L46" s="1095"/>
      <c r="M46" s="1260">
        <f t="shared" si="14"/>
        <v>0</v>
      </c>
      <c r="N46" s="1096">
        <f t="shared" si="11"/>
        <v>0</v>
      </c>
      <c r="O46" s="1215">
        <v>373323</v>
      </c>
      <c r="P46" s="1224">
        <v>373323</v>
      </c>
      <c r="Q46" s="1214">
        <v>373323</v>
      </c>
      <c r="R46" s="207"/>
      <c r="S46" s="38">
        <f t="shared" si="12"/>
        <v>2499627</v>
      </c>
      <c r="T46" s="1100">
        <f t="shared" si="13"/>
        <v>1493292</v>
      </c>
      <c r="U46" s="207">
        <f t="shared" si="15"/>
        <v>1119969</v>
      </c>
      <c r="V46" s="1128"/>
    </row>
    <row r="47" spans="1:36" s="1091" customFormat="1" ht="15.75" x14ac:dyDescent="0.25">
      <c r="A47" s="1199"/>
      <c r="B47" s="1202" t="s">
        <v>465</v>
      </c>
      <c r="C47" s="1112"/>
      <c r="D47" s="1095">
        <v>13200</v>
      </c>
      <c r="E47" s="1095">
        <v>5989.05</v>
      </c>
      <c r="F47" s="1097">
        <f>+'3 จัดสรรเพื่อบริหาร'!D35</f>
        <v>0</v>
      </c>
      <c r="G47" s="1094">
        <v>1030</v>
      </c>
      <c r="H47" s="1095">
        <v>1030</v>
      </c>
      <c r="I47" s="1095">
        <v>1030</v>
      </c>
      <c r="J47" s="1095">
        <v>1030</v>
      </c>
      <c r="K47" s="1095">
        <v>1030</v>
      </c>
      <c r="L47" s="1095">
        <f>1030+1031</f>
        <v>2061</v>
      </c>
      <c r="M47" s="1260">
        <f t="shared" si="14"/>
        <v>4121</v>
      </c>
      <c r="N47" s="1096">
        <f t="shared" si="11"/>
        <v>7211</v>
      </c>
      <c r="O47" s="1210">
        <v>756</v>
      </c>
      <c r="P47" s="1224">
        <v>747.93</v>
      </c>
      <c r="Q47" s="1247">
        <v>752</v>
      </c>
      <c r="R47" s="207"/>
      <c r="S47" s="38">
        <f t="shared" si="12"/>
        <v>8244.98</v>
      </c>
      <c r="T47" s="1100">
        <f t="shared" si="13"/>
        <v>4955.0200000000004</v>
      </c>
      <c r="U47" s="207">
        <f t="shared" si="15"/>
        <v>2255.9299999999998</v>
      </c>
      <c r="V47" s="1128"/>
    </row>
    <row r="48" spans="1:36" s="1091" customFormat="1" ht="15.75" x14ac:dyDescent="0.25">
      <c r="A48" s="1199"/>
      <c r="B48" s="1091" t="s">
        <v>466</v>
      </c>
      <c r="C48" s="1112"/>
      <c r="D48" s="1095">
        <v>79085.75999999998</v>
      </c>
      <c r="E48" s="1095">
        <v>32952.399999999987</v>
      </c>
      <c r="F48" s="1097">
        <f>+'3 จัดสรรเพื่อบริหาร'!D36</f>
        <v>0</v>
      </c>
      <c r="G48" s="1094">
        <v>6590</v>
      </c>
      <c r="H48" s="1095">
        <v>6590</v>
      </c>
      <c r="I48" s="1095">
        <v>6590</v>
      </c>
      <c r="J48" s="1095">
        <v>6590</v>
      </c>
      <c r="K48" s="1095">
        <v>6590</v>
      </c>
      <c r="L48" s="1095">
        <f>6590+6594</f>
        <v>13184</v>
      </c>
      <c r="M48" s="1260">
        <f t="shared" si="14"/>
        <v>26364</v>
      </c>
      <c r="N48" s="1096">
        <f t="shared" si="11"/>
        <v>46134</v>
      </c>
      <c r="O48" s="1210">
        <v>6590.48</v>
      </c>
      <c r="P48" s="1224">
        <v>6590.48</v>
      </c>
      <c r="Q48" s="1247">
        <v>6590</v>
      </c>
      <c r="R48" s="207"/>
      <c r="S48" s="38">
        <f t="shared" si="12"/>
        <v>52723.359999999986</v>
      </c>
      <c r="T48" s="1100">
        <f>+D48-S48</f>
        <v>26362.399999999994</v>
      </c>
      <c r="U48" s="207">
        <f t="shared" si="15"/>
        <v>19770.96</v>
      </c>
      <c r="V48" s="1128"/>
    </row>
    <row r="49" spans="1:36" s="1071" customFormat="1" ht="15.75" x14ac:dyDescent="0.25">
      <c r="A49" s="1201" t="s">
        <v>467</v>
      </c>
      <c r="B49" s="1106"/>
      <c r="C49" s="1107"/>
      <c r="D49" s="1108">
        <f>SUM(D50:D60)</f>
        <v>4618218.99</v>
      </c>
      <c r="E49" s="1108">
        <f t="shared" ref="E49:N49" si="16">SUM(E50:E60)</f>
        <v>884722.87999999989</v>
      </c>
      <c r="F49" s="1109">
        <f>SUM(F50:F60)</f>
        <v>52270</v>
      </c>
      <c r="G49" s="1110">
        <f t="shared" si="16"/>
        <v>297236</v>
      </c>
      <c r="H49" s="1108">
        <f t="shared" si="16"/>
        <v>351901</v>
      </c>
      <c r="I49" s="1108">
        <f t="shared" si="16"/>
        <v>835811</v>
      </c>
      <c r="J49" s="1108">
        <f t="shared" si="16"/>
        <v>634711</v>
      </c>
      <c r="K49" s="1108">
        <f t="shared" si="16"/>
        <v>870220</v>
      </c>
      <c r="L49" s="1108">
        <f t="shared" si="16"/>
        <v>743618</v>
      </c>
      <c r="M49" s="1259">
        <f t="shared" si="16"/>
        <v>2248549</v>
      </c>
      <c r="N49" s="1111">
        <f t="shared" si="16"/>
        <v>3733497</v>
      </c>
      <c r="O49" s="1250">
        <f>SUM(O50:O60)</f>
        <v>348832</v>
      </c>
      <c r="P49" s="1245">
        <f>SUM(P50:P60)</f>
        <v>224529</v>
      </c>
      <c r="Q49" s="1216">
        <f>SUM(Q50:Q60)</f>
        <v>224909</v>
      </c>
      <c r="R49" s="1206"/>
      <c r="S49" s="1159">
        <f>SUM(S50:S60)</f>
        <v>1682992.88</v>
      </c>
      <c r="T49" s="1218">
        <f>SUM(T50:T60)</f>
        <v>2882956.11</v>
      </c>
      <c r="U49" s="1206">
        <f>SUM(U50:U60)</f>
        <v>798270</v>
      </c>
      <c r="V49" s="1126"/>
      <c r="W49" s="1071" t="s">
        <v>515</v>
      </c>
      <c r="X49" s="1071" t="s">
        <v>516</v>
      </c>
    </row>
    <row r="50" spans="1:36" s="1091" customFormat="1" ht="15.75" x14ac:dyDescent="0.25">
      <c r="A50" s="1199"/>
      <c r="B50" s="1091" t="s">
        <v>468</v>
      </c>
      <c r="C50" s="1112"/>
      <c r="D50" s="1095">
        <f>250000+183000</f>
        <v>433000</v>
      </c>
      <c r="E50" s="1095">
        <f>106447.8+400</f>
        <v>106847.8</v>
      </c>
      <c r="F50" s="1097">
        <f>+'2 จัดสรรให้ส่วนฝ่าย'!D157</f>
        <v>0</v>
      </c>
      <c r="G50" s="1094"/>
      <c r="H50" s="1095"/>
      <c r="I50" s="1095">
        <v>70000</v>
      </c>
      <c r="J50" s="1224"/>
      <c r="K50" s="1224"/>
      <c r="L50" s="1224">
        <f>70000+3552-400+183000</f>
        <v>256152</v>
      </c>
      <c r="M50" s="1260">
        <f>SUM(J50:L50)</f>
        <v>256152</v>
      </c>
      <c r="N50" s="1096">
        <f t="shared" ref="N50:N60" si="17">SUM(G50:L50)</f>
        <v>326152</v>
      </c>
      <c r="O50" s="1210">
        <v>1060</v>
      </c>
      <c r="P50" s="1224"/>
      <c r="Q50" s="1247">
        <v>70694</v>
      </c>
      <c r="R50" s="207"/>
      <c r="S50" s="38">
        <f>+O50+E50+P50+Q50</f>
        <v>178601.8</v>
      </c>
      <c r="T50" s="1100">
        <f>+D50-S50-F50</f>
        <v>254398.2</v>
      </c>
      <c r="U50" s="207">
        <f>+O50+P50+Q50</f>
        <v>71754</v>
      </c>
      <c r="V50" s="1128"/>
      <c r="W50" s="1253">
        <f>+N50+E50</f>
        <v>432999.8</v>
      </c>
      <c r="X50" s="1173">
        <f>+D50-W50</f>
        <v>0.20000000001164153</v>
      </c>
    </row>
    <row r="51" spans="1:36" s="1091" customFormat="1" ht="15.75" x14ac:dyDescent="0.25">
      <c r="A51" s="1199"/>
      <c r="B51" s="1091" t="s">
        <v>469</v>
      </c>
      <c r="C51" s="1112"/>
      <c r="D51" s="1170">
        <f>(1096884+85800+11000+183000)-D40-D39+12000+117174</f>
        <v>779858</v>
      </c>
      <c r="E51" s="1170">
        <f>99966.69-E39</f>
        <v>94521.150000000009</v>
      </c>
      <c r="F51" s="1171">
        <f>+'2 จัดสรรให้ส่วนฝ่าย'!D6-'2 จัดสรรให้ส่วนฝ่าย'!D13</f>
        <v>2540</v>
      </c>
      <c r="G51" s="1172">
        <v>60000</v>
      </c>
      <c r="H51" s="1170">
        <f>200000-141295-9394</f>
        <v>49311</v>
      </c>
      <c r="I51" s="1170">
        <v>93494</v>
      </c>
      <c r="J51" s="1129">
        <f>141295-93494+50000+2199+50000</f>
        <v>150000</v>
      </c>
      <c r="K51" s="1129">
        <f>100000+50000</f>
        <v>150000</v>
      </c>
      <c r="L51" s="1129">
        <f>200000+100000+100000-7167+3083-53083+183000-96000-296000-60000+9394+66773+32532</f>
        <v>182532</v>
      </c>
      <c r="M51" s="1260">
        <f t="shared" ref="M51:M60" si="18">SUM(J51:L51)</f>
        <v>482532</v>
      </c>
      <c r="N51" s="1096">
        <f t="shared" si="17"/>
        <v>685337</v>
      </c>
      <c r="O51" s="1210">
        <f>840+16100+18255+17857</f>
        <v>53052</v>
      </c>
      <c r="P51" s="1224">
        <v>93899</v>
      </c>
      <c r="Q51" s="1247">
        <f>3744+9</f>
        <v>3753</v>
      </c>
      <c r="R51" s="207"/>
      <c r="S51" s="38">
        <f>+O51+E51+P51+Q51</f>
        <v>245225.15000000002</v>
      </c>
      <c r="T51" s="1100">
        <f>+D51-S51-F51</f>
        <v>532092.85</v>
      </c>
      <c r="U51" s="207">
        <f t="shared" ref="U51:U60" si="19">+O51+P51+Q51</f>
        <v>150704</v>
      </c>
      <c r="V51" s="1229" t="s">
        <v>494</v>
      </c>
      <c r="W51" s="1173">
        <f>+N51+E51</f>
        <v>779858.15</v>
      </c>
      <c r="X51" s="1173">
        <f t="shared" ref="X51:X59" si="20">+D51-W51</f>
        <v>-0.15000000002328306</v>
      </c>
      <c r="AA51" s="1173">
        <f>+M51-50000-2199-66773-50000-50000</f>
        <v>263560</v>
      </c>
    </row>
    <row r="52" spans="1:36" s="1091" customFormat="1" ht="15.75" x14ac:dyDescent="0.25">
      <c r="A52" s="1199"/>
      <c r="B52" s="1091" t="s">
        <v>470</v>
      </c>
      <c r="C52" s="1112"/>
      <c r="D52" s="1095">
        <f>+E52+N52</f>
        <v>16004.990000000002</v>
      </c>
      <c r="E52" s="1095">
        <v>7004.9900000000007</v>
      </c>
      <c r="F52" s="1097">
        <f>+'2 จัดสรรให้ส่วนฝ่าย'!J6</f>
        <v>990</v>
      </c>
      <c r="G52" s="1094">
        <v>1500</v>
      </c>
      <c r="H52" s="1095">
        <v>1500</v>
      </c>
      <c r="I52" s="1095">
        <v>1500</v>
      </c>
      <c r="J52" s="1224">
        <v>1500</v>
      </c>
      <c r="K52" s="1224">
        <v>1500</v>
      </c>
      <c r="L52" s="1224">
        <v>1500</v>
      </c>
      <c r="M52" s="1260">
        <f>SUM(J52:L52)</f>
        <v>4500</v>
      </c>
      <c r="N52" s="1096">
        <f>SUM(G52:L52)</f>
        <v>9000</v>
      </c>
      <c r="O52" s="1210">
        <v>1922</v>
      </c>
      <c r="P52" s="1224">
        <v>1441</v>
      </c>
      <c r="Q52" s="1224">
        <v>1441</v>
      </c>
      <c r="R52" s="207"/>
      <c r="S52" s="38">
        <f>+O52+E52+P52+Q52</f>
        <v>11808.990000000002</v>
      </c>
      <c r="T52" s="1100">
        <f t="shared" ref="T52:T60" si="21">+D52-S52-F52</f>
        <v>3206</v>
      </c>
      <c r="U52" s="207">
        <f t="shared" si="19"/>
        <v>4804</v>
      </c>
      <c r="V52" s="1128"/>
      <c r="W52" s="1173">
        <f>+N52+E52</f>
        <v>16004.990000000002</v>
      </c>
      <c r="X52" s="1173">
        <f t="shared" si="20"/>
        <v>0</v>
      </c>
    </row>
    <row r="53" spans="1:36" s="1091" customFormat="1" ht="15.75" x14ac:dyDescent="0.25">
      <c r="A53" s="1199"/>
      <c r="B53" s="1091" t="s">
        <v>471</v>
      </c>
      <c r="C53" s="1112"/>
      <c r="D53" s="1095">
        <f>490329-20310</f>
        <v>470019</v>
      </c>
      <c r="E53" s="1095">
        <v>17274.990000000002</v>
      </c>
      <c r="F53" s="1097">
        <f>+'2 จัดสรรให้ส่วนฝ่าย'!D39</f>
        <v>680</v>
      </c>
      <c r="G53" s="1094">
        <f>39430-20310</f>
        <v>19120</v>
      </c>
      <c r="H53" s="1095">
        <v>25440</v>
      </c>
      <c r="I53" s="1095">
        <v>54900</v>
      </c>
      <c r="J53" s="1224">
        <v>206120</v>
      </c>
      <c r="K53" s="1224">
        <v>117570</v>
      </c>
      <c r="L53" s="1224">
        <f>1500+28094</f>
        <v>29594</v>
      </c>
      <c r="M53" s="1260">
        <f t="shared" si="18"/>
        <v>353284</v>
      </c>
      <c r="N53" s="1096">
        <f t="shared" si="17"/>
        <v>452744</v>
      </c>
      <c r="O53" s="1210">
        <v>30771</v>
      </c>
      <c r="P53" s="1224">
        <v>3470</v>
      </c>
      <c r="Q53" s="1247">
        <v>44666</v>
      </c>
      <c r="R53" s="207"/>
      <c r="S53" s="38">
        <f t="shared" ref="S53:S60" si="22">+O53+E53+P53+Q53</f>
        <v>96181.99</v>
      </c>
      <c r="T53" s="1100">
        <f t="shared" si="21"/>
        <v>373157.01</v>
      </c>
      <c r="U53" s="207">
        <f t="shared" si="19"/>
        <v>78907</v>
      </c>
      <c r="V53" s="1128"/>
      <c r="W53" s="1173">
        <f t="shared" ref="W53:W61" si="23">+N53+E53</f>
        <v>470018.99</v>
      </c>
      <c r="X53" s="1173">
        <f t="shared" si="20"/>
        <v>1.0000000009313226E-2</v>
      </c>
    </row>
    <row r="54" spans="1:36" s="1091" customFormat="1" ht="15.75" x14ac:dyDescent="0.25">
      <c r="A54" s="1199"/>
      <c r="B54" s="1091" t="s">
        <v>472</v>
      </c>
      <c r="C54" s="1112"/>
      <c r="D54" s="1095">
        <v>6166</v>
      </c>
      <c r="E54" s="1095">
        <v>3221.24</v>
      </c>
      <c r="F54" s="1097">
        <f>+'2 จัดสรรให้ส่วนฝ่าย'!J39</f>
        <v>0</v>
      </c>
      <c r="G54" s="1094"/>
      <c r="H54" s="1095">
        <v>500</v>
      </c>
      <c r="I54" s="1095">
        <v>500</v>
      </c>
      <c r="J54" s="1224">
        <v>500</v>
      </c>
      <c r="K54" s="1224">
        <v>500</v>
      </c>
      <c r="L54" s="1224">
        <f>500+445</f>
        <v>945</v>
      </c>
      <c r="M54" s="1260">
        <f t="shared" si="18"/>
        <v>1945</v>
      </c>
      <c r="N54" s="1096">
        <f t="shared" si="17"/>
        <v>2945</v>
      </c>
      <c r="O54" s="1210">
        <v>926</v>
      </c>
      <c r="P54" s="1224">
        <v>480</v>
      </c>
      <c r="Q54" s="1247">
        <v>1005</v>
      </c>
      <c r="R54" s="207"/>
      <c r="S54" s="38">
        <f t="shared" si="22"/>
        <v>5632.24</v>
      </c>
      <c r="T54" s="1100">
        <f t="shared" si="21"/>
        <v>533.76000000000022</v>
      </c>
      <c r="U54" s="207">
        <f t="shared" si="19"/>
        <v>2411</v>
      </c>
      <c r="V54" s="1128"/>
      <c r="W54" s="1173">
        <f t="shared" si="23"/>
        <v>6166.24</v>
      </c>
      <c r="X54" s="1173">
        <f t="shared" si="20"/>
        <v>-0.23999999999978172</v>
      </c>
    </row>
    <row r="55" spans="1:36" s="1091" customFormat="1" ht="14.25" customHeight="1" x14ac:dyDescent="0.25">
      <c r="A55" s="1199"/>
      <c r="B55" s="1091" t="s">
        <v>473</v>
      </c>
      <c r="C55" s="1112"/>
      <c r="D55" s="1095">
        <v>883200</v>
      </c>
      <c r="E55" s="1095">
        <v>185410</v>
      </c>
      <c r="F55" s="1097">
        <f>+'2 จัดสรรให้ส่วนฝ่าย'!D69</f>
        <v>44240</v>
      </c>
      <c r="G55" s="1094"/>
      <c r="H55" s="1095">
        <v>157500</v>
      </c>
      <c r="I55" s="1095">
        <v>220000</v>
      </c>
      <c r="J55" s="1224">
        <v>55000</v>
      </c>
      <c r="K55" s="1224">
        <f>197500-77200</f>
        <v>120300</v>
      </c>
      <c r="L55" s="1224">
        <f>67790+77200</f>
        <v>144990</v>
      </c>
      <c r="M55" s="1260">
        <f t="shared" si="18"/>
        <v>320290</v>
      </c>
      <c r="N55" s="1096">
        <f t="shared" si="17"/>
        <v>697790</v>
      </c>
      <c r="O55" s="1210"/>
      <c r="P55" s="1224">
        <v>89409</v>
      </c>
      <c r="Q55" s="1247">
        <v>800</v>
      </c>
      <c r="R55" s="207"/>
      <c r="S55" s="38">
        <f t="shared" si="22"/>
        <v>275619</v>
      </c>
      <c r="T55" s="1100">
        <f t="shared" si="21"/>
        <v>563341</v>
      </c>
      <c r="U55" s="207">
        <f t="shared" si="19"/>
        <v>90209</v>
      </c>
      <c r="V55" s="1128"/>
      <c r="W55" s="1173">
        <f t="shared" si="23"/>
        <v>883200</v>
      </c>
      <c r="X55" s="1173">
        <f>+D55-W55</f>
        <v>0</v>
      </c>
    </row>
    <row r="56" spans="1:36" s="1091" customFormat="1" ht="18" customHeight="1" x14ac:dyDescent="0.25">
      <c r="A56" s="1199"/>
      <c r="B56" s="1091" t="s">
        <v>474</v>
      </c>
      <c r="C56" s="1112"/>
      <c r="D56" s="1095">
        <v>778900</v>
      </c>
      <c r="E56" s="1095">
        <v>185399</v>
      </c>
      <c r="F56" s="1097">
        <f>+'2 จัดสรรให้ส่วนฝ่าย'!J69</f>
        <v>0</v>
      </c>
      <c r="G56" s="1094">
        <v>41600</v>
      </c>
      <c r="H56" s="1095">
        <v>56150</v>
      </c>
      <c r="I56" s="1095">
        <v>175725</v>
      </c>
      <c r="J56" s="1224">
        <v>78598</v>
      </c>
      <c r="K56" s="1224">
        <v>183250</v>
      </c>
      <c r="L56" s="1224">
        <f>52100+6078</f>
        <v>58178</v>
      </c>
      <c r="M56" s="1260">
        <f t="shared" si="18"/>
        <v>320026</v>
      </c>
      <c r="N56" s="1096">
        <f t="shared" si="17"/>
        <v>593501</v>
      </c>
      <c r="O56" s="1210">
        <v>38400</v>
      </c>
      <c r="P56" s="1224">
        <v>20940</v>
      </c>
      <c r="Q56" s="1247">
        <v>21156</v>
      </c>
      <c r="R56" s="207"/>
      <c r="S56" s="38">
        <f t="shared" si="22"/>
        <v>265895</v>
      </c>
      <c r="T56" s="1100">
        <f t="shared" si="21"/>
        <v>513005</v>
      </c>
      <c r="U56" s="207">
        <f t="shared" si="19"/>
        <v>80496</v>
      </c>
      <c r="V56" s="1128"/>
      <c r="W56" s="1173">
        <f t="shared" si="23"/>
        <v>778900</v>
      </c>
      <c r="X56" s="1173">
        <f t="shared" si="20"/>
        <v>0</v>
      </c>
    </row>
    <row r="57" spans="1:36" s="1091" customFormat="1" ht="15.75" x14ac:dyDescent="0.25">
      <c r="A57" s="1199"/>
      <c r="B57" s="1091" t="s">
        <v>475</v>
      </c>
      <c r="C57" s="1112"/>
      <c r="D57" s="1095">
        <v>226250</v>
      </c>
      <c r="E57" s="1095">
        <v>31948.739999999998</v>
      </c>
      <c r="F57" s="1097">
        <f>+'2 จัดสรรให้ส่วนฝ่าย'!D99</f>
        <v>0</v>
      </c>
      <c r="G57" s="1094">
        <v>31000</v>
      </c>
      <c r="H57" s="1095">
        <v>31000</v>
      </c>
      <c r="I57" s="1095">
        <v>46000</v>
      </c>
      <c r="J57" s="1224">
        <v>31000</v>
      </c>
      <c r="K57" s="1224">
        <v>26500</v>
      </c>
      <c r="L57" s="1224">
        <f>28258+543</f>
        <v>28801</v>
      </c>
      <c r="M57" s="1260">
        <f t="shared" si="18"/>
        <v>86301</v>
      </c>
      <c r="N57" s="1096">
        <f t="shared" si="17"/>
        <v>194301</v>
      </c>
      <c r="O57" s="1210">
        <v>1985</v>
      </c>
      <c r="P57" s="1224"/>
      <c r="Q57" s="1247">
        <v>3102</v>
      </c>
      <c r="R57" s="207"/>
      <c r="S57" s="38">
        <f t="shared" si="22"/>
        <v>37035.74</v>
      </c>
      <c r="T57" s="1100">
        <f t="shared" si="21"/>
        <v>189214.26</v>
      </c>
      <c r="U57" s="207">
        <f t="shared" si="19"/>
        <v>5087</v>
      </c>
      <c r="V57" s="1128"/>
      <c r="W57" s="1173">
        <f t="shared" si="23"/>
        <v>226249.74</v>
      </c>
      <c r="X57" s="1173">
        <f t="shared" si="20"/>
        <v>0.26000000000931323</v>
      </c>
    </row>
    <row r="58" spans="1:36" s="1091" customFormat="1" ht="15.75" x14ac:dyDescent="0.25">
      <c r="A58" s="1199"/>
      <c r="B58" s="1091" t="s">
        <v>476</v>
      </c>
      <c r="C58" s="1112"/>
      <c r="D58" s="1095">
        <v>376700</v>
      </c>
      <c r="E58" s="1095">
        <v>35842.49</v>
      </c>
      <c r="F58" s="1097">
        <f>+'2 จัดสรรให้ส่วนฝ่าย'!J99</f>
        <v>3820</v>
      </c>
      <c r="G58" s="1094">
        <v>100500</v>
      </c>
      <c r="H58" s="1095">
        <v>30500</v>
      </c>
      <c r="I58" s="1095">
        <v>46792</v>
      </c>
      <c r="J58" s="1224">
        <v>85300</v>
      </c>
      <c r="K58" s="1224">
        <v>71000</v>
      </c>
      <c r="L58" s="1224">
        <f>4800+1966</f>
        <v>6766</v>
      </c>
      <c r="M58" s="1260">
        <f t="shared" si="18"/>
        <v>163066</v>
      </c>
      <c r="N58" s="1096">
        <f t="shared" si="17"/>
        <v>340858</v>
      </c>
      <c r="O58" s="1210">
        <v>72890</v>
      </c>
      <c r="P58" s="1224">
        <v>14890</v>
      </c>
      <c r="Q58" s="1247">
        <v>480</v>
      </c>
      <c r="R58" s="207"/>
      <c r="S58" s="38">
        <f t="shared" si="22"/>
        <v>124102.48999999999</v>
      </c>
      <c r="T58" s="1100">
        <f t="shared" si="21"/>
        <v>248777.51</v>
      </c>
      <c r="U58" s="207">
        <f t="shared" si="19"/>
        <v>88260</v>
      </c>
      <c r="V58" s="1128"/>
      <c r="W58" s="1173">
        <f t="shared" si="23"/>
        <v>376700.49</v>
      </c>
      <c r="X58" s="1173">
        <f t="shared" si="20"/>
        <v>-0.48999999999068677</v>
      </c>
    </row>
    <row r="59" spans="1:36" s="1091" customFormat="1" ht="15.75" x14ac:dyDescent="0.25">
      <c r="A59" s="1199"/>
      <c r="B59" s="1091" t="s">
        <v>477</v>
      </c>
      <c r="C59" s="1112"/>
      <c r="D59" s="1255">
        <f>414845-117174</f>
        <v>297671</v>
      </c>
      <c r="E59" s="1095">
        <v>50802.48</v>
      </c>
      <c r="F59" s="1097">
        <f>+'2 จัดสรรให้ส่วนฝ่าย'!D129</f>
        <v>0</v>
      </c>
      <c r="G59" s="1094">
        <v>43516</v>
      </c>
      <c r="H59" s="1095"/>
      <c r="I59" s="1095">
        <v>92900</v>
      </c>
      <c r="J59" s="1224">
        <v>26693</v>
      </c>
      <c r="K59" s="1224">
        <v>49600</v>
      </c>
      <c r="L59" s="1224">
        <v>34160</v>
      </c>
      <c r="M59" s="1260">
        <f t="shared" si="18"/>
        <v>110453</v>
      </c>
      <c r="N59" s="1096">
        <f t="shared" si="17"/>
        <v>246869</v>
      </c>
      <c r="O59" s="1210">
        <v>147826</v>
      </c>
      <c r="P59" s="1224"/>
      <c r="Q59" s="1247">
        <v>10844</v>
      </c>
      <c r="R59" s="207"/>
      <c r="S59" s="38">
        <f t="shared" si="22"/>
        <v>209472.48</v>
      </c>
      <c r="T59" s="1100">
        <f t="shared" si="21"/>
        <v>88198.51999999999</v>
      </c>
      <c r="U59" s="207">
        <f t="shared" si="19"/>
        <v>158670</v>
      </c>
      <c r="V59" s="1128"/>
      <c r="W59" s="1173">
        <f t="shared" si="23"/>
        <v>297671.48</v>
      </c>
      <c r="X59" s="1173">
        <f t="shared" si="20"/>
        <v>-0.47999999998137355</v>
      </c>
    </row>
    <row r="60" spans="1:36" s="1091" customFormat="1" ht="16.5" thickBot="1" x14ac:dyDescent="0.3">
      <c r="A60" s="1199"/>
      <c r="B60" s="1091" t="s">
        <v>478</v>
      </c>
      <c r="C60" s="1112"/>
      <c r="D60" s="1095">
        <v>350450</v>
      </c>
      <c r="E60" s="1095">
        <v>166450</v>
      </c>
      <c r="F60" s="1097">
        <f>+'2 จัดสรรให้ส่วนฝ่าย'!J129</f>
        <v>0</v>
      </c>
      <c r="G60" s="1094"/>
      <c r="H60" s="1095"/>
      <c r="I60" s="1095">
        <v>34000</v>
      </c>
      <c r="J60" s="1224"/>
      <c r="K60" s="1224">
        <v>150000</v>
      </c>
      <c r="L60" s="1224"/>
      <c r="M60" s="1260">
        <f t="shared" si="18"/>
        <v>150000</v>
      </c>
      <c r="N60" s="1096">
        <f t="shared" si="17"/>
        <v>184000</v>
      </c>
      <c r="O60" s="1212"/>
      <c r="P60" s="1225"/>
      <c r="Q60" s="1248">
        <v>66968</v>
      </c>
      <c r="R60" s="1219"/>
      <c r="S60" s="38">
        <f t="shared" si="22"/>
        <v>233418</v>
      </c>
      <c r="T60" s="1220">
        <f t="shared" si="21"/>
        <v>117032</v>
      </c>
      <c r="U60" s="207">
        <f t="shared" si="19"/>
        <v>66968</v>
      </c>
      <c r="V60" s="1128"/>
      <c r="W60" s="1173">
        <f t="shared" si="23"/>
        <v>350450</v>
      </c>
      <c r="X60" s="1173">
        <f>+D60-W60</f>
        <v>0</v>
      </c>
    </row>
    <row r="61" spans="1:36" s="1071" customFormat="1" ht="17.25" thickTop="1" thickBot="1" x14ac:dyDescent="0.3">
      <c r="A61" s="3145" t="s">
        <v>28</v>
      </c>
      <c r="B61" s="3146"/>
      <c r="C61" s="3147"/>
      <c r="D61" s="1179">
        <f t="shared" ref="D61:Q61" si="24">+D49+D41+D26</f>
        <v>22379293.09</v>
      </c>
      <c r="E61" s="1179">
        <f t="shared" si="24"/>
        <v>6384435.4499999993</v>
      </c>
      <c r="F61" s="1180">
        <f t="shared" si="24"/>
        <v>2614051.5499999998</v>
      </c>
      <c r="G61" s="1118">
        <f t="shared" si="24"/>
        <v>756482</v>
      </c>
      <c r="H61" s="1116">
        <f t="shared" si="24"/>
        <v>643293</v>
      </c>
      <c r="I61" s="1116">
        <f t="shared" si="24"/>
        <v>1052203</v>
      </c>
      <c r="J61" s="1116">
        <f t="shared" si="24"/>
        <v>1203943</v>
      </c>
      <c r="K61" s="1116">
        <f t="shared" si="24"/>
        <v>1430952</v>
      </c>
      <c r="L61" s="1116">
        <f t="shared" si="24"/>
        <v>1865958</v>
      </c>
      <c r="M61" s="1116">
        <f t="shared" si="24"/>
        <v>4500853</v>
      </c>
      <c r="N61" s="1117">
        <f t="shared" si="24"/>
        <v>6952831</v>
      </c>
      <c r="O61" s="1213">
        <f t="shared" si="24"/>
        <v>1974260.38</v>
      </c>
      <c r="P61" s="1213">
        <f t="shared" si="24"/>
        <v>2108222.63</v>
      </c>
      <c r="Q61" s="1213">
        <f t="shared" si="24"/>
        <v>1866825</v>
      </c>
      <c r="R61" s="1221"/>
      <c r="S61" s="1221">
        <f>+S49+S41+S26</f>
        <v>12333743.460000001</v>
      </c>
      <c r="T61" s="1221">
        <f>+T49+T41+T26</f>
        <v>9993279.629999999</v>
      </c>
      <c r="U61" s="1221">
        <f>+U49+U41+U26</f>
        <v>5949308.0099999998</v>
      </c>
      <c r="V61" s="1126"/>
      <c r="W61" s="1173">
        <f t="shared" si="23"/>
        <v>13337266.449999999</v>
      </c>
      <c r="X61" s="1254">
        <f>SUM(X50:X60)</f>
        <v>-0.88999999996485712</v>
      </c>
    </row>
    <row r="62" spans="1:36" s="1091" customFormat="1" ht="19.5" thickTop="1" x14ac:dyDescent="0.3">
      <c r="D62" s="473"/>
      <c r="E62" s="473"/>
      <c r="F62" s="473"/>
      <c r="G62" s="473"/>
      <c r="H62" s="473"/>
      <c r="I62" s="473"/>
      <c r="J62" s="473"/>
      <c r="K62" s="473"/>
      <c r="L62" s="473"/>
      <c r="M62" s="473"/>
      <c r="N62" s="473"/>
      <c r="O62" s="1168"/>
      <c r="P62" s="1168"/>
      <c r="Q62" s="1168"/>
      <c r="R62" s="31"/>
      <c r="S62" s="1249">
        <v>23923</v>
      </c>
      <c r="T62" s="1115"/>
      <c r="U62" s="1115"/>
      <c r="V62" s="1128"/>
    </row>
    <row r="63" spans="1:36" s="1091" customFormat="1" x14ac:dyDescent="0.3">
      <c r="D63" s="473"/>
      <c r="E63" s="473"/>
      <c r="F63" s="473"/>
      <c r="G63" s="473"/>
      <c r="H63" s="473"/>
      <c r="I63" s="473"/>
      <c r="J63" s="473"/>
      <c r="K63" s="473"/>
      <c r="L63" s="473"/>
      <c r="M63" s="473"/>
      <c r="N63" s="473"/>
      <c r="O63" s="1168"/>
      <c r="P63" s="1168"/>
      <c r="Q63" s="1168"/>
      <c r="R63" s="31"/>
      <c r="S63" s="1249"/>
      <c r="T63" s="1115"/>
      <c r="U63" s="1115"/>
      <c r="V63" s="1128"/>
    </row>
    <row r="64" spans="1:36" s="1091" customFormat="1" ht="15.75" x14ac:dyDescent="0.25">
      <c r="C64" s="1168" t="s">
        <v>510</v>
      </c>
      <c r="D64" s="474">
        <f>+'5สรุปรายงบ (66 พลางก่อน)'!F8</f>
        <v>9898080</v>
      </c>
      <c r="E64" s="473"/>
      <c r="F64" s="473" t="s">
        <v>513</v>
      </c>
      <c r="G64" s="473"/>
      <c r="H64" s="1264">
        <f>+S61</f>
        <v>12333743.460000001</v>
      </c>
      <c r="I64" s="473"/>
      <c r="J64" s="473"/>
      <c r="K64" s="473"/>
      <c r="L64" s="473"/>
      <c r="M64" s="473"/>
      <c r="N64" s="473"/>
      <c r="O64" s="1168"/>
      <c r="P64" s="1168"/>
      <c r="Q64" s="1168"/>
      <c r="R64" s="31"/>
      <c r="S64" s="1252"/>
      <c r="T64" s="31"/>
      <c r="U64" s="31"/>
      <c r="V64" s="1128"/>
      <c r="W64" s="1128"/>
      <c r="X64" s="1128"/>
      <c r="Y64" s="1128"/>
      <c r="Z64" s="1128"/>
      <c r="AA64" s="1128"/>
      <c r="AB64" s="1128"/>
      <c r="AC64" s="1128"/>
      <c r="AD64" s="1128"/>
      <c r="AE64" s="1128"/>
      <c r="AF64" s="1128"/>
      <c r="AG64" s="1128"/>
      <c r="AH64" s="1128"/>
      <c r="AI64" s="1128"/>
      <c r="AJ64" s="1128"/>
    </row>
    <row r="65" spans="3:36" s="1091" customFormat="1" ht="15.75" x14ac:dyDescent="0.25">
      <c r="C65" s="1168" t="s">
        <v>511</v>
      </c>
      <c r="D65" s="474">
        <f>+D61</f>
        <v>22379293.09</v>
      </c>
      <c r="E65" s="473"/>
      <c r="F65" s="473" t="s">
        <v>514</v>
      </c>
      <c r="G65" s="473"/>
      <c r="H65" s="1264">
        <f>+D64-H64</f>
        <v>-2435663.4600000009</v>
      </c>
      <c r="I65" s="473"/>
      <c r="J65" s="473" t="s">
        <v>519</v>
      </c>
      <c r="K65" s="473"/>
      <c r="L65" s="473" t="e">
        <f>+'5สรุปรายงบ (66 พลางก่อน)'!#REF!-'1. แผน-ผลการใช้จ่าย เม.ย.-ก.ย'!M49-M40-M39</f>
        <v>#REF!</v>
      </c>
      <c r="M65" s="473"/>
      <c r="N65" s="473"/>
      <c r="O65" s="1168"/>
      <c r="P65" s="1168"/>
      <c r="Q65" s="1168"/>
      <c r="R65" s="31"/>
      <c r="S65" s="1252"/>
      <c r="T65" s="31"/>
      <c r="U65" s="31"/>
      <c r="V65" s="1128"/>
      <c r="W65" s="1128"/>
      <c r="X65" s="1128"/>
      <c r="Y65" s="1128"/>
      <c r="Z65" s="1128"/>
      <c r="AA65" s="1128"/>
      <c r="AB65" s="1128"/>
      <c r="AC65" s="1128"/>
      <c r="AD65" s="1128"/>
      <c r="AE65" s="1128"/>
      <c r="AF65" s="1128"/>
      <c r="AG65" s="1128"/>
      <c r="AH65" s="1128"/>
      <c r="AI65" s="1128"/>
      <c r="AJ65" s="1128"/>
    </row>
    <row r="66" spans="3:36" s="1091" customFormat="1" ht="15.75" x14ac:dyDescent="0.25">
      <c r="C66" s="1168" t="s">
        <v>512</v>
      </c>
      <c r="D66" s="474">
        <f>+D64-D65</f>
        <v>-12481213.09</v>
      </c>
      <c r="E66" s="473"/>
      <c r="F66" s="473"/>
      <c r="G66" s="473"/>
      <c r="H66" s="473"/>
      <c r="I66" s="473"/>
      <c r="J66" s="473"/>
      <c r="K66" s="473"/>
      <c r="L66" s="473"/>
      <c r="M66" s="473"/>
      <c r="N66" s="473"/>
      <c r="O66" s="1168"/>
      <c r="P66" s="1168"/>
      <c r="Q66" s="1168"/>
      <c r="R66" s="31"/>
      <c r="S66" s="1252"/>
      <c r="T66" s="31"/>
      <c r="U66" s="31"/>
      <c r="V66" s="1128"/>
      <c r="W66" s="1128"/>
      <c r="X66" s="1128"/>
      <c r="Y66" s="1128"/>
      <c r="Z66" s="1128"/>
      <c r="AA66" s="1128"/>
      <c r="AB66" s="1128"/>
      <c r="AC66" s="1128"/>
      <c r="AD66" s="1128"/>
      <c r="AE66" s="1128"/>
      <c r="AF66" s="1128"/>
      <c r="AG66" s="1128"/>
      <c r="AH66" s="1128"/>
      <c r="AI66" s="1128"/>
      <c r="AJ66" s="1128"/>
    </row>
    <row r="67" spans="3:36" s="1091" customFormat="1" ht="15.75" x14ac:dyDescent="0.25">
      <c r="D67" s="473"/>
      <c r="E67" s="473"/>
      <c r="F67" s="473"/>
      <c r="G67" s="473"/>
      <c r="H67" s="473"/>
      <c r="I67" s="473"/>
      <c r="J67" s="473"/>
      <c r="K67" s="473"/>
      <c r="L67" s="473"/>
      <c r="M67" s="473"/>
      <c r="N67" s="473"/>
      <c r="O67" s="1168"/>
      <c r="P67" s="1168"/>
      <c r="Q67" s="1168"/>
      <c r="R67" s="31"/>
      <c r="S67" s="1252"/>
      <c r="T67" s="31"/>
      <c r="U67" s="31"/>
      <c r="V67" s="1128"/>
      <c r="W67" s="1128"/>
      <c r="X67" s="1128"/>
      <c r="Y67" s="1128"/>
      <c r="Z67" s="1128"/>
      <c r="AA67" s="1128"/>
      <c r="AB67" s="1128"/>
      <c r="AC67" s="1128"/>
      <c r="AD67" s="1128"/>
      <c r="AE67" s="1128"/>
      <c r="AF67" s="1128"/>
      <c r="AG67" s="1128"/>
      <c r="AH67" s="1128"/>
      <c r="AI67" s="1128"/>
      <c r="AJ67" s="1128"/>
    </row>
    <row r="68" spans="3:36" s="1091" customFormat="1" ht="15.75" x14ac:dyDescent="0.25">
      <c r="D68" s="473">
        <f>+D41+D26</f>
        <v>17761074.100000001</v>
      </c>
      <c r="E68" s="473"/>
      <c r="F68" s="473">
        <f>+'2 จัดสรรให้ส่วนฝ่าย'!R6+'3 จัดสรรเพื่อบริหาร'!D41</f>
        <v>1427882.55</v>
      </c>
      <c r="G68" s="473"/>
      <c r="H68" s="473"/>
      <c r="I68" s="473"/>
      <c r="J68" s="473"/>
      <c r="K68" s="473"/>
      <c r="L68" s="473"/>
      <c r="M68" s="473"/>
      <c r="N68" s="473"/>
      <c r="O68" s="1168"/>
      <c r="P68" s="1168"/>
      <c r="Q68" s="1168"/>
      <c r="R68" s="31"/>
      <c r="S68" s="31"/>
      <c r="T68" s="31"/>
      <c r="U68" s="31"/>
      <c r="V68" s="1128"/>
      <c r="W68" s="1128"/>
      <c r="X68" s="1128"/>
      <c r="Y68" s="1128"/>
      <c r="Z68" s="1128"/>
      <c r="AA68" s="1128"/>
      <c r="AB68" s="1128"/>
      <c r="AC68" s="1128"/>
      <c r="AD68" s="1128"/>
      <c r="AE68" s="1128"/>
      <c r="AF68" s="1128"/>
      <c r="AG68" s="1128"/>
      <c r="AH68" s="1128"/>
      <c r="AI68" s="1128"/>
      <c r="AJ68" s="1128"/>
    </row>
    <row r="69" spans="3:36" s="1091" customFormat="1" ht="15.75" x14ac:dyDescent="0.25">
      <c r="D69" s="473"/>
      <c r="E69" s="473"/>
      <c r="F69" s="473"/>
      <c r="G69" s="473"/>
      <c r="H69" s="473"/>
      <c r="I69" s="473"/>
      <c r="J69" s="473"/>
      <c r="K69" s="473"/>
      <c r="L69" s="473"/>
      <c r="M69" s="473"/>
      <c r="N69" s="473"/>
      <c r="O69" s="1168"/>
      <c r="P69" s="1168"/>
      <c r="Q69" s="1168"/>
      <c r="R69" s="31"/>
      <c r="S69" s="31"/>
      <c r="T69" s="31"/>
      <c r="U69" s="31"/>
      <c r="V69" s="1128"/>
      <c r="W69" s="1128"/>
      <c r="X69" s="1128"/>
      <c r="Y69" s="1128"/>
      <c r="Z69" s="1128"/>
      <c r="AA69" s="1128"/>
      <c r="AB69" s="1128"/>
      <c r="AC69" s="1128"/>
      <c r="AD69" s="1128"/>
      <c r="AE69" s="1128"/>
      <c r="AF69" s="1128"/>
      <c r="AG69" s="1128"/>
      <c r="AH69" s="1128"/>
      <c r="AI69" s="1128"/>
      <c r="AJ69" s="1128"/>
    </row>
  </sheetData>
  <mergeCells count="23">
    <mergeCell ref="A1:N1"/>
    <mergeCell ref="M3:N3"/>
    <mergeCell ref="E4:F4"/>
    <mergeCell ref="M4:N4"/>
    <mergeCell ref="E5:F5"/>
    <mergeCell ref="E6:F6"/>
    <mergeCell ref="M7:N7"/>
    <mergeCell ref="M9:N9"/>
    <mergeCell ref="E10:F10"/>
    <mergeCell ref="F24:F25"/>
    <mergeCell ref="E13:F13"/>
    <mergeCell ref="L13:M13"/>
    <mergeCell ref="L14:M14"/>
    <mergeCell ref="A23:U23"/>
    <mergeCell ref="O24:U24"/>
    <mergeCell ref="G24:N24"/>
    <mergeCell ref="A61:C61"/>
    <mergeCell ref="E15:F15"/>
    <mergeCell ref="E16:F16"/>
    <mergeCell ref="E17:F17"/>
    <mergeCell ref="A24:C25"/>
    <mergeCell ref="D24:D25"/>
    <mergeCell ref="E24:E25"/>
  </mergeCells>
  <pageMargins left="3.937007874015748E-2" right="3.937007874015748E-2" top="0.15748031496062992" bottom="0" header="0.31496062992125984" footer="0.31496062992125984"/>
  <pageSetup scale="85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60"/>
  <sheetViews>
    <sheetView topLeftCell="A16" workbookViewId="0">
      <selection activeCell="D47" sqref="D47"/>
    </sheetView>
  </sheetViews>
  <sheetFormatPr defaultColWidth="9" defaultRowHeight="18.75" x14ac:dyDescent="0.3"/>
  <cols>
    <col min="1" max="2" width="3.5703125" style="1062" customWidth="1"/>
    <col min="3" max="3" width="14.42578125" style="1062" customWidth="1"/>
    <col min="4" max="4" width="10" style="416" customWidth="1"/>
    <col min="5" max="5" width="9.140625" style="416" customWidth="1"/>
    <col min="6" max="6" width="9" style="416" customWidth="1"/>
    <col min="7" max="7" width="8" style="416" customWidth="1"/>
    <col min="8" max="8" width="7.85546875" style="416" customWidth="1"/>
    <col min="9" max="9" width="8.7109375" style="416" customWidth="1"/>
    <col min="10" max="10" width="9.7109375" style="416" customWidth="1"/>
    <col min="11" max="11" width="10.140625" style="416" customWidth="1"/>
    <col min="12" max="12" width="10" style="416" customWidth="1"/>
    <col min="13" max="13" width="7.42578125" style="416" customWidth="1"/>
    <col min="14" max="14" width="10.28515625" style="416" customWidth="1"/>
    <col min="15" max="16" width="8.28515625" style="366" customWidth="1"/>
    <col min="17" max="17" width="9.28515625" style="366" customWidth="1"/>
    <col min="18" max="23" width="9" style="366"/>
    <col min="24" max="16384" width="9" style="1062"/>
  </cols>
  <sheetData>
    <row r="1" spans="1:23" x14ac:dyDescent="0.3">
      <c r="A1" s="3144" t="s">
        <v>424</v>
      </c>
      <c r="B1" s="3144"/>
      <c r="C1" s="3144"/>
      <c r="D1" s="3144"/>
      <c r="E1" s="3144"/>
      <c r="F1" s="3144"/>
      <c r="G1" s="3144"/>
      <c r="H1" s="3144"/>
      <c r="I1" s="3144"/>
      <c r="J1" s="3144"/>
      <c r="K1" s="3144"/>
      <c r="L1" s="3144"/>
      <c r="M1" s="3144"/>
      <c r="N1" s="3144"/>
    </row>
    <row r="2" spans="1:23" x14ac:dyDescent="0.3">
      <c r="A2" s="1063"/>
      <c r="B2" s="1064" t="s">
        <v>425</v>
      </c>
      <c r="D2" s="1063"/>
      <c r="E2" s="1063"/>
      <c r="F2" s="1063"/>
      <c r="G2" s="1063"/>
      <c r="H2" s="1063"/>
      <c r="I2" s="1064" t="s">
        <v>426</v>
      </c>
      <c r="J2" s="1063"/>
      <c r="K2" s="1063"/>
      <c r="L2" s="1063"/>
      <c r="M2" s="1063"/>
      <c r="N2" s="1063"/>
    </row>
    <row r="3" spans="1:23" x14ac:dyDescent="0.3">
      <c r="A3" s="1063"/>
      <c r="B3" s="1065"/>
      <c r="D3" s="1063"/>
      <c r="E3" s="1063"/>
      <c r="F3" s="1066"/>
      <c r="G3" s="1063"/>
      <c r="H3" s="1063"/>
      <c r="I3" s="1065"/>
      <c r="J3" s="1063"/>
      <c r="K3" s="1063"/>
      <c r="L3" s="1063"/>
      <c r="M3" s="3198"/>
      <c r="N3" s="3198"/>
    </row>
    <row r="4" spans="1:23" s="1139" customFormat="1" ht="17.25" x14ac:dyDescent="0.3">
      <c r="A4" s="1137"/>
      <c r="B4" s="1138" t="s">
        <v>427</v>
      </c>
      <c r="D4" s="1137"/>
      <c r="E4" s="3252">
        <v>28188500</v>
      </c>
      <c r="F4" s="3252"/>
      <c r="G4" s="1137"/>
      <c r="H4" s="1137"/>
      <c r="I4" s="1138" t="s">
        <v>428</v>
      </c>
      <c r="J4" s="1137"/>
      <c r="M4" s="3252">
        <v>11132050</v>
      </c>
      <c r="N4" s="3252"/>
      <c r="O4" s="3"/>
      <c r="P4" s="3"/>
      <c r="Q4" s="3"/>
      <c r="R4" s="3"/>
      <c r="S4" s="3"/>
      <c r="T4" s="3"/>
      <c r="U4" s="3"/>
      <c r="V4" s="3"/>
      <c r="W4" s="3"/>
    </row>
    <row r="5" spans="1:23" s="1139" customFormat="1" ht="17.25" x14ac:dyDescent="0.3">
      <c r="A5" s="1137"/>
      <c r="B5" s="1138" t="s">
        <v>429</v>
      </c>
      <c r="D5" s="1137"/>
      <c r="E5" s="3253">
        <v>5924400</v>
      </c>
      <c r="F5" s="3253"/>
      <c r="G5" s="1137"/>
      <c r="H5" s="1137"/>
      <c r="I5" s="1138" t="s">
        <v>430</v>
      </c>
      <c r="J5" s="1137"/>
      <c r="M5" s="1140"/>
      <c r="N5" s="1140">
        <v>5566000</v>
      </c>
      <c r="O5" s="3"/>
      <c r="P5" s="3"/>
      <c r="Q5" s="3"/>
      <c r="R5" s="3"/>
      <c r="S5" s="3"/>
      <c r="T5" s="3"/>
      <c r="U5" s="3"/>
      <c r="V5" s="3"/>
      <c r="W5" s="3"/>
    </row>
    <row r="6" spans="1:23" s="1139" customFormat="1" ht="17.25" x14ac:dyDescent="0.3">
      <c r="A6" s="1137"/>
      <c r="B6" s="1138" t="s">
        <v>431</v>
      </c>
      <c r="D6" s="1137"/>
      <c r="E6" s="3251">
        <f>+E4-E5</f>
        <v>22264100</v>
      </c>
      <c r="F6" s="3251"/>
      <c r="G6" s="1137"/>
      <c r="H6" s="1137"/>
      <c r="I6" s="1138" t="s">
        <v>481</v>
      </c>
      <c r="J6" s="1137"/>
      <c r="M6" s="1140"/>
      <c r="N6" s="1140">
        <f>6789250-(721500*3)</f>
        <v>4624750</v>
      </c>
      <c r="O6" s="3"/>
      <c r="P6" s="3"/>
      <c r="Q6" s="3"/>
      <c r="R6" s="3"/>
      <c r="S6" s="3"/>
      <c r="T6" s="3"/>
      <c r="U6" s="3"/>
      <c r="V6" s="3"/>
      <c r="W6" s="3"/>
    </row>
    <row r="7" spans="1:23" s="594" customFormat="1" ht="17.25" x14ac:dyDescent="0.3">
      <c r="A7" s="1141"/>
      <c r="B7" s="1142" t="s">
        <v>433</v>
      </c>
      <c r="D7" s="1141"/>
      <c r="E7" s="1141"/>
      <c r="F7" s="1143">
        <f>183000*2</f>
        <v>366000</v>
      </c>
      <c r="G7" s="6"/>
      <c r="H7" s="6"/>
      <c r="I7" s="1142" t="s">
        <v>433</v>
      </c>
      <c r="J7" s="6"/>
      <c r="K7" s="6"/>
      <c r="L7" s="6"/>
      <c r="M7" s="3264">
        <f>183000*2</f>
        <v>366000</v>
      </c>
      <c r="N7" s="3264"/>
      <c r="O7" s="3"/>
      <c r="P7" s="3"/>
      <c r="Q7" s="3"/>
      <c r="R7" s="3"/>
      <c r="S7" s="3"/>
      <c r="T7" s="3"/>
      <c r="U7" s="3"/>
      <c r="V7" s="3"/>
      <c r="W7" s="3"/>
    </row>
    <row r="8" spans="1:23" s="594" customFormat="1" ht="17.25" x14ac:dyDescent="0.3">
      <c r="A8" s="1141"/>
      <c r="B8" s="1138" t="s">
        <v>432</v>
      </c>
      <c r="C8" s="1139"/>
      <c r="D8" s="1141"/>
      <c r="E8" s="1141"/>
      <c r="F8" s="896">
        <v>6789250</v>
      </c>
      <c r="G8" s="6"/>
      <c r="H8" s="6"/>
      <c r="I8" s="1142" t="s">
        <v>480</v>
      </c>
      <c r="J8" s="6"/>
      <c r="K8" s="6"/>
      <c r="L8" s="6"/>
      <c r="M8" s="998"/>
      <c r="N8" s="998">
        <f>882*800*2</f>
        <v>1411200</v>
      </c>
      <c r="O8" s="3"/>
      <c r="P8" s="3"/>
      <c r="Q8" s="3"/>
      <c r="R8" s="3"/>
      <c r="S8" s="3"/>
      <c r="T8" s="3"/>
      <c r="U8" s="3"/>
      <c r="V8" s="3"/>
      <c r="W8" s="3"/>
    </row>
    <row r="9" spans="1:23" s="1139" customFormat="1" ht="17.25" x14ac:dyDescent="0.3">
      <c r="A9" s="1137"/>
      <c r="B9" s="1138" t="s">
        <v>435</v>
      </c>
      <c r="D9" s="1137"/>
      <c r="E9" s="1144"/>
      <c r="F9" s="1145">
        <v>2822400</v>
      </c>
      <c r="G9" s="1137"/>
      <c r="H9" s="1137"/>
      <c r="I9" s="1137"/>
      <c r="J9" s="1146" t="s">
        <v>434</v>
      </c>
      <c r="M9" s="3265">
        <f>+M4+N5+N6+M7+N8</f>
        <v>23100000</v>
      </c>
      <c r="N9" s="3265"/>
      <c r="O9" s="3"/>
      <c r="P9" s="3"/>
      <c r="Q9" s="3"/>
      <c r="R9" s="3"/>
      <c r="S9" s="3"/>
      <c r="T9" s="3"/>
      <c r="U9" s="3"/>
      <c r="V9" s="3"/>
      <c r="W9" s="3"/>
    </row>
    <row r="10" spans="1:23" s="1139" customFormat="1" ht="17.25" x14ac:dyDescent="0.3">
      <c r="A10" s="1137"/>
      <c r="C10" s="1146" t="s">
        <v>437</v>
      </c>
      <c r="D10" s="1137"/>
      <c r="E10" s="3272">
        <f>+E6+F7+F8+F9</f>
        <v>32241750</v>
      </c>
      <c r="F10" s="3272"/>
      <c r="G10" s="1137"/>
      <c r="H10" s="1137"/>
      <c r="I10" s="1146" t="s">
        <v>485</v>
      </c>
      <c r="K10" s="1137"/>
      <c r="L10" s="1144"/>
      <c r="M10" s="1144"/>
      <c r="N10" s="1147"/>
      <c r="O10" s="3"/>
      <c r="P10" s="3"/>
      <c r="Q10" s="3"/>
      <c r="R10" s="3"/>
      <c r="S10" s="3"/>
      <c r="T10" s="3"/>
      <c r="U10" s="3"/>
      <c r="V10" s="3"/>
      <c r="W10" s="3"/>
    </row>
    <row r="11" spans="1:23" s="1139" customFormat="1" ht="17.25" x14ac:dyDescent="0.3">
      <c r="A11" s="1137"/>
      <c r="B11" s="1146" t="s">
        <v>439</v>
      </c>
      <c r="C11" s="1137"/>
      <c r="D11" s="1137"/>
      <c r="F11" s="1145"/>
      <c r="G11" s="1137"/>
      <c r="H11" s="1137"/>
      <c r="I11" s="1138" t="s">
        <v>484</v>
      </c>
      <c r="K11" s="1137"/>
      <c r="L11" s="1147"/>
      <c r="M11" s="1144"/>
      <c r="N11" s="1144">
        <v>3184093</v>
      </c>
      <c r="O11" s="3"/>
      <c r="P11" s="3"/>
      <c r="Q11" s="3"/>
      <c r="R11" s="3"/>
      <c r="S11" s="3"/>
      <c r="T11" s="3"/>
      <c r="U11" s="3"/>
      <c r="V11" s="3"/>
      <c r="W11" s="3"/>
    </row>
    <row r="12" spans="1:23" s="1139" customFormat="1" ht="21.75" customHeight="1" x14ac:dyDescent="0.3">
      <c r="A12" s="1137"/>
      <c r="B12" s="1138" t="s">
        <v>441</v>
      </c>
      <c r="D12" s="1137"/>
      <c r="E12" s="3257">
        <f>9705821+20310-366000</f>
        <v>9360131</v>
      </c>
      <c r="F12" s="3257"/>
      <c r="G12" s="1141"/>
      <c r="H12" s="1148"/>
      <c r="I12" s="1138" t="s">
        <v>436</v>
      </c>
      <c r="J12" s="1147"/>
      <c r="K12" s="1137"/>
      <c r="L12" s="1147"/>
      <c r="M12" s="1147"/>
      <c r="N12" s="1144">
        <v>1601814</v>
      </c>
      <c r="O12" s="3"/>
      <c r="P12" s="3"/>
      <c r="Q12" s="3"/>
      <c r="R12" s="3"/>
      <c r="S12" s="3"/>
      <c r="T12" s="3"/>
      <c r="U12" s="3"/>
      <c r="V12" s="3"/>
      <c r="W12" s="3"/>
    </row>
    <row r="13" spans="1:23" s="1139" customFormat="1" ht="17.25" x14ac:dyDescent="0.3">
      <c r="A13" s="1137"/>
      <c r="B13" s="1142" t="s">
        <v>479</v>
      </c>
      <c r="C13" s="3"/>
      <c r="D13" s="1137"/>
      <c r="E13" s="3273">
        <f>+D57</f>
        <v>22838292.75</v>
      </c>
      <c r="F13" s="3273"/>
      <c r="G13" s="1141"/>
      <c r="H13" s="1137"/>
      <c r="I13" s="1138" t="s">
        <v>482</v>
      </c>
      <c r="J13" s="1147"/>
      <c r="L13" s="3259"/>
      <c r="M13" s="3259"/>
      <c r="N13" s="1144">
        <v>20310</v>
      </c>
      <c r="O13" s="3"/>
      <c r="P13" s="3"/>
      <c r="Q13" s="3"/>
      <c r="R13" s="3"/>
      <c r="S13" s="3"/>
      <c r="T13" s="3"/>
      <c r="U13" s="3"/>
      <c r="V13" s="3"/>
      <c r="W13" s="3"/>
    </row>
    <row r="14" spans="1:23" s="1139" customFormat="1" ht="17.25" x14ac:dyDescent="0.3">
      <c r="A14" s="1137"/>
      <c r="B14" s="6"/>
      <c r="C14" s="6" t="s">
        <v>16</v>
      </c>
      <c r="D14" s="1137"/>
      <c r="F14" s="1149">
        <f>+E10-E12-E13</f>
        <v>43326.25</v>
      </c>
      <c r="G14" s="1141"/>
      <c r="H14" s="1137"/>
      <c r="I14" s="1138" t="s">
        <v>483</v>
      </c>
      <c r="L14" s="3259"/>
      <c r="M14" s="3259"/>
      <c r="N14" s="1147">
        <f>800*882*2</f>
        <v>1411200</v>
      </c>
      <c r="O14" s="3"/>
      <c r="P14" s="3"/>
      <c r="Q14" s="3"/>
      <c r="R14" s="3"/>
      <c r="S14" s="3"/>
      <c r="T14" s="3"/>
      <c r="U14" s="3"/>
      <c r="V14" s="3"/>
      <c r="W14" s="3"/>
    </row>
    <row r="15" spans="1:23" s="3" customFormat="1" ht="17.25" x14ac:dyDescent="0.3">
      <c r="A15" s="6"/>
      <c r="B15" s="6"/>
      <c r="C15" s="6" t="s">
        <v>488</v>
      </c>
      <c r="D15" s="6"/>
      <c r="E15" s="3274">
        <f>+E13+F14</f>
        <v>22881619</v>
      </c>
      <c r="F15" s="3274"/>
      <c r="G15" s="1141"/>
      <c r="H15" s="6"/>
      <c r="I15" s="1138" t="s">
        <v>438</v>
      </c>
      <c r="J15" s="1139"/>
      <c r="N15" s="19">
        <f>+'2 สรุปตามงบที่ได้รับมาแล้ว'!J8</f>
        <v>-973615</v>
      </c>
    </row>
    <row r="16" spans="1:23" s="3" customFormat="1" ht="17.25" x14ac:dyDescent="0.3">
      <c r="A16" s="6"/>
      <c r="D16" s="6"/>
      <c r="E16" s="3274"/>
      <c r="F16" s="3274"/>
      <c r="G16" s="1141"/>
      <c r="H16" s="6"/>
      <c r="I16" s="1138" t="s">
        <v>440</v>
      </c>
      <c r="J16" s="1139"/>
      <c r="K16" s="6"/>
      <c r="L16" s="6"/>
      <c r="M16" s="30"/>
      <c r="N16" s="998">
        <f>+'2 สรุปตามงบที่ได้รับมาแล้ว'!K8</f>
        <v>-4321269</v>
      </c>
    </row>
    <row r="17" spans="1:23" s="3" customFormat="1" ht="17.25" x14ac:dyDescent="0.3">
      <c r="A17" s="6"/>
      <c r="D17" s="6"/>
      <c r="E17" s="3275"/>
      <c r="F17" s="3275"/>
      <c r="G17" s="1141"/>
      <c r="H17" s="712"/>
      <c r="I17" s="1138" t="s">
        <v>442</v>
      </c>
      <c r="K17" s="6"/>
      <c r="L17" s="6"/>
      <c r="M17" s="6"/>
      <c r="N17" s="897">
        <f>+G57+H57+I57</f>
        <v>2461372</v>
      </c>
    </row>
    <row r="18" spans="1:23" s="3" customFormat="1" ht="17.25" x14ac:dyDescent="0.3">
      <c r="A18" s="6"/>
      <c r="D18" s="6"/>
      <c r="E18" s="1150"/>
      <c r="F18" s="1150"/>
      <c r="G18" s="1141"/>
      <c r="H18" s="712"/>
      <c r="I18" s="17" t="s">
        <v>443</v>
      </c>
      <c r="K18" s="6"/>
      <c r="L18" s="6"/>
      <c r="M18" s="6"/>
      <c r="N18" s="712">
        <f>+M9-N11-N12-N13-N14-N15-N16-N17</f>
        <v>19716095</v>
      </c>
    </row>
    <row r="19" spans="1:23" ht="19.5" thickBot="1" x14ac:dyDescent="0.35">
      <c r="G19" s="596"/>
    </row>
    <row r="20" spans="1:23" s="1071" customFormat="1" ht="20.25" customHeight="1" x14ac:dyDescent="0.25">
      <c r="A20" s="3260" t="s">
        <v>0</v>
      </c>
      <c r="B20" s="3261"/>
      <c r="C20" s="3262"/>
      <c r="D20" s="3276" t="s">
        <v>444</v>
      </c>
      <c r="E20" s="3276" t="s">
        <v>491</v>
      </c>
      <c r="F20" s="3258" t="s">
        <v>445</v>
      </c>
      <c r="G20" s="3266" t="s">
        <v>446</v>
      </c>
      <c r="H20" s="3267"/>
      <c r="I20" s="3267"/>
      <c r="J20" s="3267"/>
      <c r="K20" s="3267"/>
      <c r="L20" s="3267"/>
      <c r="M20" s="3267"/>
      <c r="N20" s="3268"/>
      <c r="O20" s="3254" t="s">
        <v>492</v>
      </c>
      <c r="P20" s="3255"/>
      <c r="Q20" s="3256"/>
      <c r="R20" s="555"/>
      <c r="S20" s="555"/>
      <c r="T20" s="555"/>
      <c r="U20" s="555"/>
      <c r="V20" s="555"/>
      <c r="W20" s="555"/>
    </row>
    <row r="21" spans="1:23" s="1075" customFormat="1" ht="45" customHeight="1" x14ac:dyDescent="0.5">
      <c r="A21" s="3263"/>
      <c r="B21" s="3233"/>
      <c r="C21" s="3234"/>
      <c r="D21" s="3218"/>
      <c r="E21" s="3218"/>
      <c r="F21" s="3237"/>
      <c r="G21" s="1072" t="s">
        <v>447</v>
      </c>
      <c r="H21" s="1073" t="s">
        <v>448</v>
      </c>
      <c r="I21" s="1073" t="s">
        <v>449</v>
      </c>
      <c r="J21" s="1073" t="s">
        <v>450</v>
      </c>
      <c r="K21" s="1073" t="s">
        <v>451</v>
      </c>
      <c r="L21" s="1073" t="s">
        <v>452</v>
      </c>
      <c r="M21" s="1073" t="s">
        <v>453</v>
      </c>
      <c r="N21" s="1074" t="s">
        <v>28</v>
      </c>
      <c r="O21" s="1135">
        <v>23833</v>
      </c>
      <c r="P21" s="1136" t="s">
        <v>445</v>
      </c>
      <c r="Q21" s="1134" t="s">
        <v>493</v>
      </c>
      <c r="R21" s="1133"/>
      <c r="S21" s="1133"/>
      <c r="T21" s="1133"/>
      <c r="U21" s="1133"/>
      <c r="V21" s="1133"/>
      <c r="W21" s="1133"/>
    </row>
    <row r="22" spans="1:23" s="1071" customFormat="1" ht="15.75" x14ac:dyDescent="0.25">
      <c r="A22" s="1076" t="s">
        <v>454</v>
      </c>
      <c r="B22" s="1077"/>
      <c r="C22" s="1078"/>
      <c r="D22" s="1079">
        <f>+D23+D29</f>
        <v>12740915.01</v>
      </c>
      <c r="E22" s="1079">
        <f>+E23+E29</f>
        <v>3781686.54</v>
      </c>
      <c r="F22" s="1080">
        <f t="shared" ref="F22:K22" si="0">+F23+F29</f>
        <v>3988616.4699999997</v>
      </c>
      <c r="G22" s="1081">
        <f>+G23+G29</f>
        <v>291920</v>
      </c>
      <c r="H22" s="1079">
        <f t="shared" si="0"/>
        <v>290824</v>
      </c>
      <c r="I22" s="1079">
        <f t="shared" si="0"/>
        <v>215824</v>
      </c>
      <c r="J22" s="1079">
        <f t="shared" si="0"/>
        <v>528697</v>
      </c>
      <c r="K22" s="1079">
        <f t="shared" si="0"/>
        <v>1180197</v>
      </c>
      <c r="L22" s="1079">
        <f>+L23+L29</f>
        <v>1741650</v>
      </c>
      <c r="M22" s="1079">
        <f>+M23+M29</f>
        <v>721500</v>
      </c>
      <c r="N22" s="1082">
        <f>SUM(G22:M22)</f>
        <v>4970612</v>
      </c>
      <c r="O22" s="1151"/>
      <c r="P22" s="1152"/>
      <c r="Q22" s="1153"/>
      <c r="R22" s="555"/>
      <c r="S22" s="555"/>
      <c r="T22" s="555"/>
      <c r="U22" s="555"/>
      <c r="V22" s="555"/>
      <c r="W22" s="555"/>
    </row>
    <row r="23" spans="1:23" s="1071" customFormat="1" ht="15.75" x14ac:dyDescent="0.25">
      <c r="A23" s="1083"/>
      <c r="B23" s="1084" t="s">
        <v>455</v>
      </c>
      <c r="C23" s="1085"/>
      <c r="D23" s="1086">
        <f>SUM(D24:D28)</f>
        <v>8002555</v>
      </c>
      <c r="E23" s="1086">
        <f>SUM(E24:E28)</f>
        <v>2216956</v>
      </c>
      <c r="F23" s="1087">
        <f t="shared" ref="F23:M23" si="1">SUM(F24:F28)</f>
        <v>2892099</v>
      </c>
      <c r="G23" s="1088">
        <f t="shared" si="1"/>
        <v>105094</v>
      </c>
      <c r="H23" s="1086">
        <f t="shared" si="1"/>
        <v>102000</v>
      </c>
      <c r="I23" s="1086">
        <f t="shared" si="1"/>
        <v>102000</v>
      </c>
      <c r="J23" s="1086">
        <f t="shared" si="1"/>
        <v>102000</v>
      </c>
      <c r="K23" s="1086">
        <f t="shared" si="1"/>
        <v>823500</v>
      </c>
      <c r="L23" s="1086">
        <f t="shared" si="1"/>
        <v>937406</v>
      </c>
      <c r="M23" s="1086">
        <f t="shared" si="1"/>
        <v>721500</v>
      </c>
      <c r="N23" s="1089">
        <f>SUM(N24:N28)</f>
        <v>2893500</v>
      </c>
      <c r="O23" s="1154"/>
      <c r="P23" s="1155"/>
      <c r="Q23" s="1156"/>
      <c r="R23" s="555"/>
      <c r="S23" s="555"/>
      <c r="T23" s="555"/>
      <c r="U23" s="555"/>
      <c r="V23" s="555"/>
      <c r="W23" s="555"/>
    </row>
    <row r="24" spans="1:23" s="1091" customFormat="1" ht="15.75" x14ac:dyDescent="0.25">
      <c r="A24" s="1090"/>
      <c r="C24" s="1114" t="s">
        <v>456</v>
      </c>
      <c r="D24" s="38">
        <v>6789250</v>
      </c>
      <c r="E24" s="38">
        <v>1738750</v>
      </c>
      <c r="F24" s="1093">
        <f>5050500-K24-L24-M24</f>
        <v>2886000</v>
      </c>
      <c r="G24" s="1094"/>
      <c r="H24" s="1095"/>
      <c r="I24" s="1095"/>
      <c r="J24" s="1095"/>
      <c r="K24" s="1095">
        <v>721500</v>
      </c>
      <c r="L24" s="1095">
        <v>721500</v>
      </c>
      <c r="M24" s="1095">
        <v>721500</v>
      </c>
      <c r="N24" s="1096">
        <f>SUM(G24:M24)</f>
        <v>2164500</v>
      </c>
      <c r="O24" s="1099">
        <f>+'[3]1.รายการผูกพัน (สัญญาทั้งปี)'!$F$12</f>
        <v>721500</v>
      </c>
      <c r="P24" s="38"/>
      <c r="Q24" s="1157"/>
      <c r="R24" s="31"/>
      <c r="S24" s="31"/>
      <c r="T24" s="31"/>
      <c r="U24" s="31"/>
      <c r="V24" s="31"/>
      <c r="W24" s="31"/>
    </row>
    <row r="25" spans="1:23" s="1091" customFormat="1" ht="15.75" x14ac:dyDescent="0.25">
      <c r="A25" s="1090"/>
      <c r="C25" s="1114" t="s">
        <v>77</v>
      </c>
      <c r="D25" s="38">
        <v>10165</v>
      </c>
      <c r="E25" s="38">
        <v>4066</v>
      </c>
      <c r="F25" s="1097">
        <v>6099</v>
      </c>
      <c r="G25" s="1094"/>
      <c r="H25" s="1095"/>
      <c r="I25" s="1095"/>
      <c r="J25" s="1095"/>
      <c r="K25" s="1095"/>
      <c r="L25" s="1095"/>
      <c r="M25" s="1095"/>
      <c r="N25" s="1096">
        <f t="shared" ref="N25:N32" si="2">SUM(G25:M25)</f>
        <v>0</v>
      </c>
      <c r="O25" s="1099"/>
      <c r="P25" s="38"/>
      <c r="Q25" s="1157"/>
      <c r="R25" s="31"/>
      <c r="S25" s="31"/>
      <c r="T25" s="31"/>
      <c r="U25" s="31"/>
      <c r="V25" s="31"/>
      <c r="W25" s="31"/>
    </row>
    <row r="26" spans="1:23" s="1091" customFormat="1" ht="15.75" x14ac:dyDescent="0.25">
      <c r="A26" s="1090"/>
      <c r="C26" s="1114" t="s">
        <v>78</v>
      </c>
      <c r="D26" s="38">
        <f>+E26+N26</f>
        <v>984000</v>
      </c>
      <c r="E26" s="38">
        <f>328000+82000</f>
        <v>410000</v>
      </c>
      <c r="F26" s="1097"/>
      <c r="G26" s="1094">
        <v>82000</v>
      </c>
      <c r="H26" s="1095">
        <v>82000</v>
      </c>
      <c r="I26" s="1095">
        <v>82000</v>
      </c>
      <c r="J26" s="1095">
        <v>82000</v>
      </c>
      <c r="K26" s="1095">
        <v>82000</v>
      </c>
      <c r="L26" s="1095">
        <f>82000+82000</f>
        <v>164000</v>
      </c>
      <c r="M26" s="1095"/>
      <c r="N26" s="1096">
        <f t="shared" si="2"/>
        <v>574000</v>
      </c>
      <c r="O26" s="1099"/>
      <c r="P26" s="38"/>
      <c r="Q26" s="1157"/>
      <c r="R26" s="31"/>
      <c r="S26" s="31"/>
      <c r="T26" s="31"/>
      <c r="U26" s="31"/>
      <c r="V26" s="31"/>
      <c r="W26" s="31"/>
    </row>
    <row r="27" spans="1:23" s="1091" customFormat="1" ht="15.75" x14ac:dyDescent="0.25">
      <c r="A27" s="1090"/>
      <c r="C27" s="1092" t="s">
        <v>79</v>
      </c>
      <c r="D27" s="38">
        <f>+E27+N27</f>
        <v>165510</v>
      </c>
      <c r="E27" s="38">
        <v>45510</v>
      </c>
      <c r="F27" s="1097"/>
      <c r="G27" s="1094">
        <v>18094</v>
      </c>
      <c r="H27" s="1095">
        <v>15000</v>
      </c>
      <c r="I27" s="1095">
        <v>15000</v>
      </c>
      <c r="J27" s="1095">
        <v>15000</v>
      </c>
      <c r="K27" s="1095">
        <v>15000</v>
      </c>
      <c r="L27" s="1095">
        <f>15000+15000+11906</f>
        <v>41906</v>
      </c>
      <c r="M27" s="1095"/>
      <c r="N27" s="1096">
        <f t="shared" si="2"/>
        <v>120000</v>
      </c>
      <c r="O27" s="1099">
        <v>18904</v>
      </c>
      <c r="P27" s="38"/>
      <c r="Q27" s="1157">
        <f>+E27+O27</f>
        <v>64414</v>
      </c>
      <c r="R27" s="1115">
        <f>+D27-Q27</f>
        <v>101096</v>
      </c>
      <c r="S27" s="31"/>
      <c r="T27" s="31"/>
      <c r="U27" s="31"/>
      <c r="V27" s="31"/>
      <c r="W27" s="31"/>
    </row>
    <row r="28" spans="1:23" s="1091" customFormat="1" ht="15.75" x14ac:dyDescent="0.25">
      <c r="A28" s="1090"/>
      <c r="C28" s="1092" t="s">
        <v>80</v>
      </c>
      <c r="D28" s="38">
        <f>+E28+N28</f>
        <v>53630</v>
      </c>
      <c r="E28" s="38">
        <v>18630</v>
      </c>
      <c r="F28" s="1097"/>
      <c r="G28" s="1094">
        <v>5000</v>
      </c>
      <c r="H28" s="1095">
        <v>5000</v>
      </c>
      <c r="I28" s="1095">
        <v>5000</v>
      </c>
      <c r="J28" s="1095">
        <v>5000</v>
      </c>
      <c r="K28" s="1095">
        <v>5000</v>
      </c>
      <c r="L28" s="1095">
        <f>5000+5000</f>
        <v>10000</v>
      </c>
      <c r="M28" s="1095"/>
      <c r="N28" s="1096">
        <f t="shared" si="2"/>
        <v>35000</v>
      </c>
      <c r="O28" s="1099"/>
      <c r="P28" s="38"/>
      <c r="Q28" s="1157"/>
      <c r="R28" s="31"/>
      <c r="S28" s="31"/>
      <c r="T28" s="31"/>
      <c r="U28" s="31"/>
      <c r="V28" s="31"/>
      <c r="W28" s="31"/>
    </row>
    <row r="29" spans="1:23" s="1071" customFormat="1" ht="15.75" x14ac:dyDescent="0.25">
      <c r="A29" s="1083"/>
      <c r="B29" s="1084" t="s">
        <v>457</v>
      </c>
      <c r="C29" s="1085"/>
      <c r="D29" s="1086">
        <f t="shared" ref="D29:N29" si="3">SUM(D30:D36)</f>
        <v>4738360.01</v>
      </c>
      <c r="E29" s="1086">
        <f t="shared" si="3"/>
        <v>1564730.54</v>
      </c>
      <c r="F29" s="1087">
        <f t="shared" si="3"/>
        <v>1096517.47</v>
      </c>
      <c r="G29" s="1088">
        <f t="shared" si="3"/>
        <v>186826</v>
      </c>
      <c r="H29" s="1086">
        <f t="shared" si="3"/>
        <v>188824</v>
      </c>
      <c r="I29" s="1086">
        <f t="shared" si="3"/>
        <v>113824</v>
      </c>
      <c r="J29" s="1086">
        <f t="shared" si="3"/>
        <v>426697</v>
      </c>
      <c r="K29" s="1086">
        <f t="shared" si="3"/>
        <v>356697</v>
      </c>
      <c r="L29" s="1086">
        <f t="shared" si="3"/>
        <v>804244</v>
      </c>
      <c r="M29" s="1086">
        <f t="shared" si="3"/>
        <v>0</v>
      </c>
      <c r="N29" s="1089">
        <f t="shared" si="3"/>
        <v>2077112</v>
      </c>
      <c r="O29" s="1154"/>
      <c r="P29" s="1155"/>
      <c r="Q29" s="1156"/>
      <c r="R29" s="555"/>
      <c r="S29" s="555"/>
      <c r="T29" s="555"/>
      <c r="U29" s="555"/>
      <c r="V29" s="555"/>
      <c r="W29" s="555"/>
    </row>
    <row r="30" spans="1:23" s="31" customFormat="1" ht="15.75" x14ac:dyDescent="0.25">
      <c r="A30" s="1053"/>
      <c r="C30" s="1092" t="s">
        <v>42</v>
      </c>
      <c r="D30" s="38">
        <v>2972900</v>
      </c>
      <c r="E30" s="38">
        <f>1148000</f>
        <v>1148000</v>
      </c>
      <c r="F30" s="1098">
        <v>782100</v>
      </c>
      <c r="G30" s="1099"/>
      <c r="H30" s="38"/>
      <c r="I30" s="38"/>
      <c r="J30" s="38">
        <v>260700</v>
      </c>
      <c r="K30" s="38">
        <v>260700</v>
      </c>
      <c r="L30" s="38">
        <f>260700*2</f>
        <v>521400</v>
      </c>
      <c r="M30" s="38"/>
      <c r="N30" s="1100">
        <f t="shared" si="2"/>
        <v>1042800</v>
      </c>
      <c r="O30" s="1099"/>
      <c r="P30" s="38"/>
      <c r="Q30" s="1157"/>
    </row>
    <row r="31" spans="1:23" s="31" customFormat="1" ht="15.75" x14ac:dyDescent="0.25">
      <c r="A31" s="1053"/>
      <c r="C31" s="1005" t="s">
        <v>59</v>
      </c>
      <c r="D31" s="38">
        <v>580200</v>
      </c>
      <c r="E31" s="1101">
        <v>225000</v>
      </c>
      <c r="F31" s="1102">
        <v>152240</v>
      </c>
      <c r="G31" s="1099"/>
      <c r="H31" s="38"/>
      <c r="I31" s="38"/>
      <c r="J31" s="38">
        <v>50740</v>
      </c>
      <c r="K31" s="38">
        <v>50740</v>
      </c>
      <c r="L31" s="38">
        <f>50740*2</f>
        <v>101480</v>
      </c>
      <c r="M31" s="38"/>
      <c r="N31" s="1100">
        <f t="shared" si="2"/>
        <v>202960</v>
      </c>
      <c r="O31" s="1099"/>
      <c r="P31" s="38"/>
      <c r="Q31" s="1157"/>
    </row>
    <row r="32" spans="1:23" s="31" customFormat="1" ht="15.75" x14ac:dyDescent="0.25">
      <c r="A32" s="1053"/>
      <c r="C32" s="1092" t="s">
        <v>60</v>
      </c>
      <c r="D32" s="38">
        <v>447260</v>
      </c>
      <c r="E32" s="38">
        <v>180000</v>
      </c>
      <c r="F32" s="1098">
        <v>114540</v>
      </c>
      <c r="G32" s="1099"/>
      <c r="H32" s="38"/>
      <c r="I32" s="38"/>
      <c r="J32" s="38">
        <v>38180</v>
      </c>
      <c r="K32" s="38">
        <v>38180</v>
      </c>
      <c r="L32" s="38">
        <f>38180*2</f>
        <v>76360</v>
      </c>
      <c r="M32" s="38"/>
      <c r="N32" s="1100">
        <f t="shared" si="2"/>
        <v>152720</v>
      </c>
      <c r="O32" s="1099"/>
      <c r="P32" s="38"/>
      <c r="Q32" s="1157"/>
    </row>
    <row r="33" spans="1:23" s="1091" customFormat="1" ht="15.75" x14ac:dyDescent="0.25">
      <c r="A33" s="1090"/>
      <c r="C33" s="1092" t="s">
        <v>327</v>
      </c>
      <c r="D33" s="38">
        <v>14000</v>
      </c>
      <c r="E33" s="38">
        <v>215</v>
      </c>
      <c r="F33" s="1098"/>
      <c r="G33" s="1094"/>
      <c r="H33" s="1095">
        <v>2757</v>
      </c>
      <c r="I33" s="1095">
        <v>2757</v>
      </c>
      <c r="J33" s="1095">
        <v>2757</v>
      </c>
      <c r="K33" s="1095">
        <v>2757</v>
      </c>
      <c r="L33" s="1095">
        <v>2757</v>
      </c>
      <c r="M33" s="1095"/>
      <c r="N33" s="1096">
        <f>SUM(G33:M33)</f>
        <v>13785</v>
      </c>
      <c r="O33" s="1099"/>
      <c r="P33" s="38"/>
      <c r="Q33" s="1157"/>
      <c r="R33" s="31"/>
      <c r="S33" s="31"/>
      <c r="T33" s="31"/>
      <c r="U33" s="31"/>
      <c r="V33" s="31"/>
      <c r="W33" s="31"/>
    </row>
    <row r="34" spans="1:23" s="1091" customFormat="1" ht="15.75" x14ac:dyDescent="0.25">
      <c r="A34" s="1090"/>
      <c r="C34" s="1092" t="s">
        <v>328</v>
      </c>
      <c r="D34" s="38">
        <v>32000</v>
      </c>
      <c r="E34" s="38">
        <v>6070</v>
      </c>
      <c r="F34" s="1098"/>
      <c r="G34" s="1094">
        <v>4320</v>
      </c>
      <c r="H34" s="1095">
        <v>4320</v>
      </c>
      <c r="I34" s="1095">
        <v>4320</v>
      </c>
      <c r="J34" s="1095">
        <v>4320</v>
      </c>
      <c r="K34" s="1095">
        <v>4320</v>
      </c>
      <c r="L34" s="1095">
        <f>4320+10</f>
        <v>4330</v>
      </c>
      <c r="M34" s="1095"/>
      <c r="N34" s="1096">
        <f>SUM(G34:M34)</f>
        <v>25930</v>
      </c>
      <c r="O34" s="1099"/>
      <c r="P34" s="38"/>
      <c r="Q34" s="1157"/>
      <c r="R34" s="31"/>
      <c r="S34" s="31"/>
      <c r="T34" s="31"/>
      <c r="U34" s="31"/>
      <c r="V34" s="31"/>
      <c r="W34" s="31"/>
    </row>
    <row r="35" spans="1:23" s="1091" customFormat="1" ht="15.75" x14ac:dyDescent="0.25">
      <c r="A35" s="1103" t="s">
        <v>458</v>
      </c>
      <c r="C35" s="1104" t="s">
        <v>486</v>
      </c>
      <c r="D35" s="38">
        <f>+E35+F35+N35</f>
        <v>296000.01</v>
      </c>
      <c r="E35" s="38">
        <v>5445.54</v>
      </c>
      <c r="F35" s="1098">
        <v>47637.47</v>
      </c>
      <c r="G35" s="1094"/>
      <c r="H35" s="1095">
        <f>5000+70000</f>
        <v>75000</v>
      </c>
      <c r="I35" s="1095"/>
      <c r="J35" s="1095">
        <v>70000</v>
      </c>
      <c r="K35" s="1095"/>
      <c r="L35" s="1095">
        <f>100000+5000-3083-4000</f>
        <v>97917</v>
      </c>
      <c r="M35" s="1095"/>
      <c r="N35" s="1096">
        <f>SUM(G35:M35)</f>
        <v>242917</v>
      </c>
      <c r="O35" s="1099"/>
      <c r="P35" s="38"/>
      <c r="Q35" s="1157"/>
      <c r="R35" s="31"/>
      <c r="S35" s="31"/>
      <c r="T35" s="31"/>
      <c r="U35" s="31"/>
      <c r="V35" s="31"/>
      <c r="W35" s="31"/>
    </row>
    <row r="36" spans="1:23" s="1091" customFormat="1" ht="15.75" x14ac:dyDescent="0.25">
      <c r="A36" s="1103" t="s">
        <v>458</v>
      </c>
      <c r="C36" s="1104" t="s">
        <v>487</v>
      </c>
      <c r="D36" s="38">
        <v>396000</v>
      </c>
      <c r="E36" s="38"/>
      <c r="F36" s="1098"/>
      <c r="G36" s="1094">
        <f>30206+152300</f>
        <v>182506</v>
      </c>
      <c r="H36" s="1095">
        <v>106747</v>
      </c>
      <c r="I36" s="1095">
        <v>106747</v>
      </c>
      <c r="J36" s="1095"/>
      <c r="K36" s="1095"/>
      <c r="L36" s="1095"/>
      <c r="M36" s="1095"/>
      <c r="N36" s="1096">
        <f>SUM(G36:M36)</f>
        <v>396000</v>
      </c>
      <c r="O36" s="1099"/>
      <c r="P36" s="38"/>
      <c r="Q36" s="1157"/>
      <c r="R36" s="31"/>
      <c r="S36" s="31"/>
      <c r="T36" s="31"/>
      <c r="U36" s="31"/>
      <c r="V36" s="31"/>
      <c r="W36" s="31"/>
    </row>
    <row r="37" spans="1:23" s="1071" customFormat="1" ht="15.75" x14ac:dyDescent="0.25">
      <c r="A37" s="1105" t="s">
        <v>459</v>
      </c>
      <c r="B37" s="1106"/>
      <c r="C37" s="1107"/>
      <c r="D37" s="1108">
        <f t="shared" ref="D37:N37" si="4">SUM(D38:D44)</f>
        <v>5161158.76</v>
      </c>
      <c r="E37" s="1108">
        <f t="shared" si="4"/>
        <v>1796665.69</v>
      </c>
      <c r="F37" s="1109">
        <f t="shared" si="4"/>
        <v>2613261</v>
      </c>
      <c r="G37" s="1110">
        <f t="shared" si="4"/>
        <v>107326</v>
      </c>
      <c r="H37" s="1108">
        <f t="shared" si="4"/>
        <v>107315</v>
      </c>
      <c r="I37" s="1108">
        <f t="shared" si="4"/>
        <v>107315</v>
      </c>
      <c r="J37" s="1108">
        <f t="shared" si="4"/>
        <v>107315</v>
      </c>
      <c r="K37" s="1108">
        <f t="shared" si="4"/>
        <v>107315</v>
      </c>
      <c r="L37" s="1108">
        <f t="shared" si="4"/>
        <v>214647</v>
      </c>
      <c r="M37" s="1108">
        <f t="shared" si="4"/>
        <v>0</v>
      </c>
      <c r="N37" s="1111">
        <f t="shared" si="4"/>
        <v>751233</v>
      </c>
      <c r="O37" s="1158"/>
      <c r="P37" s="1159"/>
      <c r="Q37" s="1153"/>
      <c r="R37" s="555"/>
      <c r="S37" s="555"/>
      <c r="T37" s="555"/>
      <c r="U37" s="555"/>
      <c r="V37" s="555"/>
      <c r="W37" s="555"/>
    </row>
    <row r="38" spans="1:23" s="1091" customFormat="1" ht="15.75" x14ac:dyDescent="0.25">
      <c r="A38" s="1090"/>
      <c r="B38" s="31" t="s">
        <v>460</v>
      </c>
      <c r="C38" s="1112"/>
      <c r="D38" s="1095">
        <v>855700</v>
      </c>
      <c r="E38" s="1095">
        <v>328309.27999999997</v>
      </c>
      <c r="F38" s="1097"/>
      <c r="G38" s="1094">
        <v>75340</v>
      </c>
      <c r="H38" s="1095">
        <v>75340</v>
      </c>
      <c r="I38" s="1095">
        <v>75340</v>
      </c>
      <c r="J38" s="1095">
        <v>75340</v>
      </c>
      <c r="K38" s="1095">
        <v>75340</v>
      </c>
      <c r="L38" s="1095">
        <f>75340+75351</f>
        <v>150691</v>
      </c>
      <c r="M38" s="1095"/>
      <c r="N38" s="1096">
        <f>SUM(G38:M38)</f>
        <v>527391</v>
      </c>
      <c r="O38" s="1099"/>
      <c r="P38" s="38"/>
      <c r="Q38" s="1157"/>
      <c r="R38" s="31"/>
      <c r="S38" s="31"/>
      <c r="T38" s="31"/>
      <c r="U38" s="31"/>
      <c r="V38" s="31"/>
      <c r="W38" s="31"/>
    </row>
    <row r="39" spans="1:23" s="1091" customFormat="1" ht="15.75" x14ac:dyDescent="0.25">
      <c r="A39" s="1090"/>
      <c r="B39" s="31" t="s">
        <v>461</v>
      </c>
      <c r="C39" s="1112"/>
      <c r="D39" s="1095">
        <v>49000</v>
      </c>
      <c r="E39" s="1095">
        <v>20232.350000000002</v>
      </c>
      <c r="F39" s="1097"/>
      <c r="G39" s="1094">
        <v>4110</v>
      </c>
      <c r="H39" s="1095">
        <v>4110</v>
      </c>
      <c r="I39" s="1095">
        <v>4110</v>
      </c>
      <c r="J39" s="1095">
        <v>4110</v>
      </c>
      <c r="K39" s="1095">
        <v>4110</v>
      </c>
      <c r="L39" s="1095">
        <f>4110+4108</f>
        <v>8218</v>
      </c>
      <c r="M39" s="1095"/>
      <c r="N39" s="1096">
        <f t="shared" ref="N39:N56" si="5">SUM(G39:M39)</f>
        <v>28768</v>
      </c>
      <c r="O39" s="1099"/>
      <c r="P39" s="38"/>
      <c r="Q39" s="1157"/>
      <c r="R39" s="31"/>
      <c r="S39" s="31"/>
      <c r="T39" s="31"/>
      <c r="U39" s="31"/>
      <c r="V39" s="31"/>
      <c r="W39" s="31"/>
    </row>
    <row r="40" spans="1:23" s="1091" customFormat="1" ht="15.75" x14ac:dyDescent="0.25">
      <c r="A40" s="1090"/>
      <c r="B40" s="31" t="s">
        <v>462</v>
      </c>
      <c r="C40" s="1112"/>
      <c r="D40" s="1095">
        <v>122254</v>
      </c>
      <c r="E40" s="1095">
        <v>19840.61</v>
      </c>
      <c r="F40" s="1097"/>
      <c r="G40" s="1094">
        <v>14630</v>
      </c>
      <c r="H40" s="1095">
        <v>14630</v>
      </c>
      <c r="I40" s="1095">
        <v>14630</v>
      </c>
      <c r="J40" s="1095">
        <v>14630</v>
      </c>
      <c r="K40" s="1095">
        <v>14630</v>
      </c>
      <c r="L40" s="1095">
        <f>14630+14633</f>
        <v>29263</v>
      </c>
      <c r="M40" s="1095"/>
      <c r="N40" s="1096">
        <f t="shared" si="5"/>
        <v>102413</v>
      </c>
      <c r="O40" s="1099"/>
      <c r="P40" s="38"/>
      <c r="Q40" s="1157"/>
      <c r="R40" s="31"/>
      <c r="S40" s="31"/>
      <c r="T40" s="31"/>
      <c r="U40" s="31"/>
      <c r="V40" s="31"/>
      <c r="W40" s="31"/>
    </row>
    <row r="41" spans="1:23" s="1091" customFormat="1" ht="15.75" x14ac:dyDescent="0.25">
      <c r="A41" s="1090"/>
      <c r="B41" s="31" t="s">
        <v>463</v>
      </c>
      <c r="C41" s="1112"/>
      <c r="D41" s="1095">
        <v>49000</v>
      </c>
      <c r="E41" s="1095">
        <v>9684</v>
      </c>
      <c r="F41" s="1097"/>
      <c r="G41" s="1094">
        <f>5615+11</f>
        <v>5626</v>
      </c>
      <c r="H41" s="1095">
        <v>5615</v>
      </c>
      <c r="I41" s="1095">
        <v>5615</v>
      </c>
      <c r="J41" s="1095">
        <v>5615</v>
      </c>
      <c r="K41" s="1095">
        <v>5615</v>
      </c>
      <c r="L41" s="1095">
        <f>5615+5615</f>
        <v>11230</v>
      </c>
      <c r="M41" s="1095"/>
      <c r="N41" s="1096">
        <f t="shared" si="5"/>
        <v>39316</v>
      </c>
      <c r="O41" s="1099"/>
      <c r="P41" s="38"/>
      <c r="Q41" s="1157"/>
      <c r="R41" s="31"/>
      <c r="S41" s="31"/>
      <c r="T41" s="31"/>
      <c r="U41" s="31"/>
      <c r="V41" s="31"/>
      <c r="W41" s="31"/>
    </row>
    <row r="42" spans="1:23" s="1091" customFormat="1" ht="15.75" x14ac:dyDescent="0.25">
      <c r="A42" s="1090"/>
      <c r="B42" s="31" t="s">
        <v>464</v>
      </c>
      <c r="C42" s="1112"/>
      <c r="D42" s="1095">
        <v>3992919</v>
      </c>
      <c r="E42" s="1095">
        <v>1379658</v>
      </c>
      <c r="F42" s="1097">
        <v>2613261</v>
      </c>
      <c r="G42" s="1094"/>
      <c r="H42" s="1095"/>
      <c r="I42" s="1095"/>
      <c r="J42" s="1095"/>
      <c r="K42" s="1095"/>
      <c r="L42" s="1095"/>
      <c r="M42" s="1095"/>
      <c r="N42" s="1096">
        <f t="shared" si="5"/>
        <v>0</v>
      </c>
      <c r="O42" s="1099"/>
      <c r="P42" s="38"/>
      <c r="Q42" s="1157"/>
      <c r="R42" s="31"/>
      <c r="S42" s="31"/>
      <c r="T42" s="31"/>
      <c r="U42" s="31"/>
      <c r="V42" s="31"/>
      <c r="W42" s="31"/>
    </row>
    <row r="43" spans="1:23" s="1091" customFormat="1" ht="15.75" x14ac:dyDescent="0.25">
      <c r="A43" s="1090"/>
      <c r="B43" s="1113" t="s">
        <v>465</v>
      </c>
      <c r="C43" s="1112"/>
      <c r="D43" s="1095">
        <v>13200</v>
      </c>
      <c r="E43" s="1095">
        <v>5989.05</v>
      </c>
      <c r="F43" s="1097"/>
      <c r="G43" s="1094">
        <v>1030</v>
      </c>
      <c r="H43" s="1095">
        <v>1030</v>
      </c>
      <c r="I43" s="1095">
        <v>1030</v>
      </c>
      <c r="J43" s="1095">
        <v>1030</v>
      </c>
      <c r="K43" s="1095">
        <v>1030</v>
      </c>
      <c r="L43" s="1095">
        <f>1030+1031</f>
        <v>2061</v>
      </c>
      <c r="M43" s="1095"/>
      <c r="N43" s="1096">
        <f t="shared" si="5"/>
        <v>7211</v>
      </c>
      <c r="O43" s="1099"/>
      <c r="P43" s="38"/>
      <c r="Q43" s="1157"/>
      <c r="R43" s="31"/>
      <c r="S43" s="31"/>
      <c r="T43" s="31"/>
      <c r="U43" s="31"/>
      <c r="V43" s="31"/>
      <c r="W43" s="31"/>
    </row>
    <row r="44" spans="1:23" s="1091" customFormat="1" ht="15.75" x14ac:dyDescent="0.25">
      <c r="A44" s="1090"/>
      <c r="B44" s="31" t="s">
        <v>466</v>
      </c>
      <c r="C44" s="1112"/>
      <c r="D44" s="1095">
        <v>79085.75999999998</v>
      </c>
      <c r="E44" s="1095">
        <v>32952.399999999987</v>
      </c>
      <c r="F44" s="1097"/>
      <c r="G44" s="1094">
        <v>6590</v>
      </c>
      <c r="H44" s="1095">
        <v>6590</v>
      </c>
      <c r="I44" s="1095">
        <v>6590</v>
      </c>
      <c r="J44" s="1095">
        <v>6590</v>
      </c>
      <c r="K44" s="1095">
        <v>6590</v>
      </c>
      <c r="L44" s="1095">
        <f>6590+6594</f>
        <v>13184</v>
      </c>
      <c r="M44" s="1095"/>
      <c r="N44" s="1096">
        <f t="shared" si="5"/>
        <v>46134</v>
      </c>
      <c r="O44" s="1099"/>
      <c r="P44" s="38"/>
      <c r="Q44" s="1157"/>
      <c r="R44" s="31"/>
      <c r="S44" s="31"/>
      <c r="T44" s="31"/>
      <c r="U44" s="31"/>
      <c r="V44" s="31"/>
      <c r="W44" s="31"/>
    </row>
    <row r="45" spans="1:23" s="1071" customFormat="1" ht="15.75" x14ac:dyDescent="0.25">
      <c r="A45" s="1105" t="s">
        <v>467</v>
      </c>
      <c r="B45" s="1106"/>
      <c r="C45" s="1107"/>
      <c r="D45" s="1108">
        <f>SUM(D46:D56)</f>
        <v>4936218.9800000004</v>
      </c>
      <c r="E45" s="1108">
        <f t="shared" ref="E45:N45" si="6">SUM(E46:E56)</f>
        <v>890168.41999999993</v>
      </c>
      <c r="F45" s="1109">
        <f>SUM(F46:F56)</f>
        <v>382357.76999999996</v>
      </c>
      <c r="G45" s="1110">
        <f t="shared" si="6"/>
        <v>237236</v>
      </c>
      <c r="H45" s="1108">
        <f t="shared" si="6"/>
        <v>361295</v>
      </c>
      <c r="I45" s="1108">
        <f t="shared" si="6"/>
        <v>742317</v>
      </c>
      <c r="J45" s="1108">
        <f t="shared" si="6"/>
        <v>626006</v>
      </c>
      <c r="K45" s="1108">
        <f t="shared" si="6"/>
        <v>820220</v>
      </c>
      <c r="L45" s="1108">
        <f t="shared" si="6"/>
        <v>876619</v>
      </c>
      <c r="M45" s="1108">
        <f t="shared" si="6"/>
        <v>0</v>
      </c>
      <c r="N45" s="1111">
        <f t="shared" si="6"/>
        <v>3663693</v>
      </c>
      <c r="O45" s="1158"/>
      <c r="P45" s="1159"/>
      <c r="Q45" s="1153"/>
      <c r="R45" s="555"/>
      <c r="S45" s="555"/>
      <c r="T45" s="555"/>
      <c r="U45" s="555"/>
      <c r="V45" s="555"/>
      <c r="W45" s="555"/>
    </row>
    <row r="46" spans="1:23" s="31" customFormat="1" ht="15.75" x14ac:dyDescent="0.25">
      <c r="A46" s="1053"/>
      <c r="B46" s="31" t="s">
        <v>468</v>
      </c>
      <c r="C46" s="1092"/>
      <c r="D46" s="38">
        <f>250000+183000</f>
        <v>433000</v>
      </c>
      <c r="E46" s="38">
        <f>106447.8+400</f>
        <v>106847.8</v>
      </c>
      <c r="F46" s="1098"/>
      <c r="G46" s="1099"/>
      <c r="H46" s="38"/>
      <c r="I46" s="38">
        <v>70000</v>
      </c>
      <c r="J46" s="38"/>
      <c r="K46" s="38"/>
      <c r="L46" s="38">
        <f>70000+3552-400+183000</f>
        <v>256152</v>
      </c>
      <c r="M46" s="38"/>
      <c r="N46" s="1100">
        <f>SUM(G46:M46)</f>
        <v>326152</v>
      </c>
      <c r="O46" s="1099"/>
      <c r="P46" s="38"/>
      <c r="Q46" s="1157"/>
    </row>
    <row r="47" spans="1:23" s="31" customFormat="1" ht="15.75" x14ac:dyDescent="0.25">
      <c r="A47" s="1053"/>
      <c r="B47" s="31" t="s">
        <v>469</v>
      </c>
      <c r="C47" s="1092"/>
      <c r="D47" s="75">
        <f>1193684-D35+183000-100000</f>
        <v>980683.99</v>
      </c>
      <c r="E47" s="75">
        <f>99966.69</f>
        <v>99966.69</v>
      </c>
      <c r="F47" s="1130">
        <v>150884</v>
      </c>
      <c r="G47" s="1131"/>
      <c r="H47" s="1129">
        <f>200000-141295</f>
        <v>58705</v>
      </c>
      <c r="I47" s="1129"/>
      <c r="J47" s="1129">
        <v>141295</v>
      </c>
      <c r="K47" s="75">
        <v>100000</v>
      </c>
      <c r="L47" s="75">
        <f>200000+100000+100000-7167+3083-53083+183000-96000</f>
        <v>429833</v>
      </c>
      <c r="M47" s="75"/>
      <c r="N47" s="1132">
        <f>SUM(G47:M47)</f>
        <v>729833</v>
      </c>
      <c r="O47" s="1131"/>
      <c r="P47" s="75"/>
      <c r="Q47" s="1160"/>
    </row>
    <row r="48" spans="1:23" s="31" customFormat="1" ht="15.75" x14ac:dyDescent="0.25">
      <c r="A48" s="1053"/>
      <c r="B48" s="31" t="s">
        <v>470</v>
      </c>
      <c r="C48" s="1092"/>
      <c r="D48" s="38">
        <f>+E48+N48</f>
        <v>16004.990000000002</v>
      </c>
      <c r="E48" s="38">
        <v>7004.9900000000007</v>
      </c>
      <c r="F48" s="1098"/>
      <c r="G48" s="1099">
        <v>1500</v>
      </c>
      <c r="H48" s="38">
        <v>1500</v>
      </c>
      <c r="I48" s="38">
        <v>1500</v>
      </c>
      <c r="J48" s="38">
        <v>1500</v>
      </c>
      <c r="K48" s="38">
        <v>1500</v>
      </c>
      <c r="L48" s="38">
        <v>1500</v>
      </c>
      <c r="M48" s="38"/>
      <c r="N48" s="1100">
        <f>SUM(G48:M48)</f>
        <v>9000</v>
      </c>
      <c r="O48" s="1099"/>
      <c r="P48" s="38"/>
      <c r="Q48" s="1157"/>
    </row>
    <row r="49" spans="1:23" s="31" customFormat="1" ht="15.75" x14ac:dyDescent="0.25">
      <c r="A49" s="1053"/>
      <c r="B49" s="31" t="s">
        <v>471</v>
      </c>
      <c r="C49" s="1092"/>
      <c r="D49" s="38">
        <f>490329-20310</f>
        <v>470019</v>
      </c>
      <c r="E49" s="38">
        <v>17274.990000000002</v>
      </c>
      <c r="F49" s="1098">
        <v>28093.9</v>
      </c>
      <c r="G49" s="1099">
        <f>39430-20310</f>
        <v>19120</v>
      </c>
      <c r="H49" s="38">
        <v>25440</v>
      </c>
      <c r="I49" s="38">
        <v>54900</v>
      </c>
      <c r="J49" s="38">
        <v>206120</v>
      </c>
      <c r="K49" s="38">
        <v>117570</v>
      </c>
      <c r="L49" s="38">
        <v>1500</v>
      </c>
      <c r="M49" s="38"/>
      <c r="N49" s="1100">
        <f t="shared" si="5"/>
        <v>424650</v>
      </c>
      <c r="O49" s="1099"/>
      <c r="P49" s="38"/>
      <c r="Q49" s="1157"/>
    </row>
    <row r="50" spans="1:23" s="31" customFormat="1" ht="15.75" x14ac:dyDescent="0.25">
      <c r="A50" s="1053"/>
      <c r="B50" s="31" t="s">
        <v>472</v>
      </c>
      <c r="C50" s="1092"/>
      <c r="D50" s="38">
        <v>6166</v>
      </c>
      <c r="E50" s="38">
        <v>3221.24</v>
      </c>
      <c r="F50" s="1098">
        <v>445.12</v>
      </c>
      <c r="G50" s="1099"/>
      <c r="H50" s="38">
        <v>500</v>
      </c>
      <c r="I50" s="38">
        <v>500</v>
      </c>
      <c r="J50" s="38">
        <v>500</v>
      </c>
      <c r="K50" s="38">
        <v>500</v>
      </c>
      <c r="L50" s="38">
        <v>500</v>
      </c>
      <c r="M50" s="38"/>
      <c r="N50" s="1100">
        <f t="shared" si="5"/>
        <v>2500</v>
      </c>
      <c r="O50" s="1099"/>
      <c r="P50" s="38"/>
      <c r="Q50" s="1157"/>
    </row>
    <row r="51" spans="1:23" s="31" customFormat="1" ht="15.75" x14ac:dyDescent="0.25">
      <c r="A51" s="1053"/>
      <c r="B51" s="31" t="s">
        <v>473</v>
      </c>
      <c r="C51" s="1092"/>
      <c r="D51" s="38">
        <v>883200</v>
      </c>
      <c r="E51" s="38">
        <v>185410</v>
      </c>
      <c r="F51" s="1098">
        <v>77200</v>
      </c>
      <c r="G51" s="1099"/>
      <c r="H51" s="38">
        <v>157500</v>
      </c>
      <c r="I51" s="38">
        <v>220000</v>
      </c>
      <c r="J51" s="38">
        <v>55000</v>
      </c>
      <c r="K51" s="38">
        <f>197500-77200</f>
        <v>120300</v>
      </c>
      <c r="L51" s="38">
        <v>67790</v>
      </c>
      <c r="M51" s="38"/>
      <c r="N51" s="1100">
        <f t="shared" si="5"/>
        <v>620590</v>
      </c>
      <c r="O51" s="1099"/>
      <c r="P51" s="38"/>
      <c r="Q51" s="1157"/>
    </row>
    <row r="52" spans="1:23" s="31" customFormat="1" ht="18" customHeight="1" x14ac:dyDescent="0.25">
      <c r="A52" s="1053"/>
      <c r="B52" s="31" t="s">
        <v>474</v>
      </c>
      <c r="C52" s="1092"/>
      <c r="D52" s="38">
        <v>778900</v>
      </c>
      <c r="E52" s="38">
        <v>185399</v>
      </c>
      <c r="F52" s="1098">
        <v>6077.6</v>
      </c>
      <c r="G52" s="1099">
        <v>41600</v>
      </c>
      <c r="H52" s="38">
        <v>56150</v>
      </c>
      <c r="I52" s="38">
        <v>175725</v>
      </c>
      <c r="J52" s="38">
        <v>78598</v>
      </c>
      <c r="K52" s="38">
        <v>183250</v>
      </c>
      <c r="L52" s="38">
        <v>52100</v>
      </c>
      <c r="M52" s="38"/>
      <c r="N52" s="1100">
        <f t="shared" si="5"/>
        <v>587423</v>
      </c>
      <c r="O52" s="1099"/>
      <c r="P52" s="38"/>
      <c r="Q52" s="1157"/>
    </row>
    <row r="53" spans="1:23" s="31" customFormat="1" ht="15.75" x14ac:dyDescent="0.25">
      <c r="A53" s="1053"/>
      <c r="B53" s="31" t="s">
        <v>475</v>
      </c>
      <c r="C53" s="1092"/>
      <c r="D53" s="38">
        <v>226250</v>
      </c>
      <c r="E53" s="38">
        <v>31948.739999999998</v>
      </c>
      <c r="F53" s="1098">
        <v>543.55999999999995</v>
      </c>
      <c r="G53" s="1099">
        <v>31000</v>
      </c>
      <c r="H53" s="38">
        <v>31000</v>
      </c>
      <c r="I53" s="38">
        <v>46000</v>
      </c>
      <c r="J53" s="38">
        <v>31000</v>
      </c>
      <c r="K53" s="38">
        <v>26500</v>
      </c>
      <c r="L53" s="38">
        <v>28258</v>
      </c>
      <c r="M53" s="38"/>
      <c r="N53" s="1100">
        <f t="shared" si="5"/>
        <v>193758</v>
      </c>
      <c r="O53" s="1099"/>
      <c r="P53" s="38"/>
      <c r="Q53" s="1157"/>
    </row>
    <row r="54" spans="1:23" s="31" customFormat="1" ht="15.75" x14ac:dyDescent="0.25">
      <c r="A54" s="1053"/>
      <c r="B54" s="31" t="s">
        <v>476</v>
      </c>
      <c r="C54" s="1092"/>
      <c r="D54" s="38">
        <v>376700</v>
      </c>
      <c r="E54" s="38">
        <v>35842.49</v>
      </c>
      <c r="F54" s="1098">
        <v>1939.91</v>
      </c>
      <c r="G54" s="1099">
        <v>100500</v>
      </c>
      <c r="H54" s="38">
        <v>30500</v>
      </c>
      <c r="I54" s="38">
        <v>46792</v>
      </c>
      <c r="J54" s="38">
        <v>85300</v>
      </c>
      <c r="K54" s="38">
        <v>71000</v>
      </c>
      <c r="L54" s="38">
        <f>4800+26</f>
        <v>4826</v>
      </c>
      <c r="M54" s="38"/>
      <c r="N54" s="1100">
        <f t="shared" si="5"/>
        <v>338918</v>
      </c>
      <c r="O54" s="1099"/>
      <c r="P54" s="38"/>
      <c r="Q54" s="1157"/>
    </row>
    <row r="55" spans="1:23" s="31" customFormat="1" ht="15.75" x14ac:dyDescent="0.25">
      <c r="A55" s="1053"/>
      <c r="B55" s="31" t="s">
        <v>477</v>
      </c>
      <c r="C55" s="1092"/>
      <c r="D55" s="38">
        <v>414845</v>
      </c>
      <c r="E55" s="38">
        <v>50802.48</v>
      </c>
      <c r="F55" s="1098">
        <v>117173.68</v>
      </c>
      <c r="G55" s="1099">
        <v>43516</v>
      </c>
      <c r="H55" s="38"/>
      <c r="I55" s="38">
        <v>92900</v>
      </c>
      <c r="J55" s="38">
        <v>26693</v>
      </c>
      <c r="K55" s="38">
        <v>49600</v>
      </c>
      <c r="L55" s="38">
        <v>34160</v>
      </c>
      <c r="M55" s="38"/>
      <c r="N55" s="1100">
        <f t="shared" si="5"/>
        <v>246869</v>
      </c>
      <c r="O55" s="1099"/>
      <c r="P55" s="38"/>
      <c r="Q55" s="1157"/>
    </row>
    <row r="56" spans="1:23" s="31" customFormat="1" ht="16.5" thickBot="1" x14ac:dyDescent="0.3">
      <c r="A56" s="1053"/>
      <c r="B56" s="31" t="s">
        <v>478</v>
      </c>
      <c r="C56" s="1092"/>
      <c r="D56" s="38">
        <v>350450</v>
      </c>
      <c r="E56" s="38">
        <v>166450</v>
      </c>
      <c r="F56" s="1098"/>
      <c r="G56" s="1099"/>
      <c r="H56" s="38"/>
      <c r="I56" s="38">
        <v>34000</v>
      </c>
      <c r="J56" s="38"/>
      <c r="K56" s="38">
        <v>150000</v>
      </c>
      <c r="L56" s="38"/>
      <c r="M56" s="38"/>
      <c r="N56" s="1100">
        <f t="shared" si="5"/>
        <v>184000</v>
      </c>
      <c r="O56" s="1099"/>
      <c r="P56" s="38"/>
      <c r="Q56" s="1157"/>
    </row>
    <row r="57" spans="1:23" s="1071" customFormat="1" ht="17.25" thickTop="1" thickBot="1" x14ac:dyDescent="0.3">
      <c r="A57" s="3269" t="s">
        <v>28</v>
      </c>
      <c r="B57" s="3270"/>
      <c r="C57" s="3271"/>
      <c r="D57" s="1116">
        <f>+D45+D37+D22</f>
        <v>22838292.75</v>
      </c>
      <c r="E57" s="1116">
        <f>+E45+E37+E22</f>
        <v>6468520.6500000004</v>
      </c>
      <c r="F57" s="1117">
        <f>+F45+F37+F22</f>
        <v>6984235.2400000002</v>
      </c>
      <c r="G57" s="1118">
        <f>+G45+G37+G22</f>
        <v>636482</v>
      </c>
      <c r="H57" s="1116">
        <f t="shared" ref="H57:N57" si="7">+H45+H37+H22</f>
        <v>759434</v>
      </c>
      <c r="I57" s="1116">
        <f t="shared" si="7"/>
        <v>1065456</v>
      </c>
      <c r="J57" s="1116">
        <f t="shared" si="7"/>
        <v>1262018</v>
      </c>
      <c r="K57" s="1116">
        <f t="shared" si="7"/>
        <v>2107732</v>
      </c>
      <c r="L57" s="1116">
        <f t="shared" si="7"/>
        <v>2832916</v>
      </c>
      <c r="M57" s="1116">
        <f t="shared" si="7"/>
        <v>721500</v>
      </c>
      <c r="N57" s="1117">
        <f t="shared" si="7"/>
        <v>9385538</v>
      </c>
      <c r="O57" s="1161"/>
      <c r="P57" s="1161"/>
      <c r="Q57" s="1161"/>
      <c r="R57" s="555"/>
      <c r="S57" s="555"/>
      <c r="T57" s="555"/>
      <c r="U57" s="555"/>
      <c r="V57" s="555"/>
      <c r="W57" s="555"/>
    </row>
    <row r="58" spans="1:23" s="1091" customFormat="1" ht="16.5" thickTop="1" x14ac:dyDescent="0.25">
      <c r="D58" s="473"/>
      <c r="E58" s="473"/>
      <c r="F58" s="473"/>
      <c r="G58" s="473"/>
      <c r="H58" s="473"/>
      <c r="I58" s="473"/>
      <c r="J58" s="473"/>
      <c r="K58" s="473"/>
      <c r="L58" s="473"/>
      <c r="M58" s="473"/>
      <c r="N58" s="473"/>
      <c r="O58" s="31"/>
      <c r="P58" s="31"/>
      <c r="Q58" s="31"/>
      <c r="R58" s="31"/>
      <c r="S58" s="31"/>
      <c r="T58" s="31"/>
      <c r="U58" s="31"/>
      <c r="V58" s="31"/>
      <c r="W58" s="31"/>
    </row>
    <row r="59" spans="1:23" x14ac:dyDescent="0.3">
      <c r="D59" s="473"/>
    </row>
    <row r="60" spans="1:23" x14ac:dyDescent="0.3">
      <c r="D60" s="473">
        <f>+D37+D22</f>
        <v>17902073.77</v>
      </c>
      <c r="E60" s="473"/>
    </row>
  </sheetData>
  <mergeCells count="23">
    <mergeCell ref="M7:N7"/>
    <mergeCell ref="M9:N9"/>
    <mergeCell ref="G20:N20"/>
    <mergeCell ref="A57:C57"/>
    <mergeCell ref="E10:F10"/>
    <mergeCell ref="E13:F13"/>
    <mergeCell ref="E16:F16"/>
    <mergeCell ref="E17:F17"/>
    <mergeCell ref="D20:D21"/>
    <mergeCell ref="E20:E21"/>
    <mergeCell ref="E15:F15"/>
    <mergeCell ref="O20:Q20"/>
    <mergeCell ref="E12:F12"/>
    <mergeCell ref="F20:F21"/>
    <mergeCell ref="L13:M13"/>
    <mergeCell ref="A20:C21"/>
    <mergeCell ref="L14:M14"/>
    <mergeCell ref="E6:F6"/>
    <mergeCell ref="A1:N1"/>
    <mergeCell ref="M3:N3"/>
    <mergeCell ref="E4:F4"/>
    <mergeCell ref="M4:N4"/>
    <mergeCell ref="E5:F5"/>
  </mergeCells>
  <pageMargins left="0" right="0.23622047244094491" top="0.15748031496062992" bottom="0" header="0.31496062992125984" footer="0.31496062992125984"/>
  <pageSetup scale="75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O31"/>
  <sheetViews>
    <sheetView zoomScaleNormal="100" zoomScaleSheetLayoutView="100" workbookViewId="0">
      <pane ySplit="7" topLeftCell="A17" activePane="bottomLeft" state="frozen"/>
      <selection pane="bottomLeft" activeCell="E10" sqref="E10"/>
    </sheetView>
  </sheetViews>
  <sheetFormatPr defaultColWidth="8.85546875" defaultRowHeight="18.75" x14ac:dyDescent="0.3"/>
  <cols>
    <col min="1" max="1" width="26.28515625" style="366" customWidth="1"/>
    <col min="2" max="2" width="12.7109375" style="366" customWidth="1"/>
    <col min="3" max="3" width="11.42578125" style="366" customWidth="1"/>
    <col min="4" max="4" width="11.28515625" style="366" customWidth="1"/>
    <col min="5" max="7" width="13.5703125" style="366" customWidth="1"/>
    <col min="8" max="13" width="13.5703125" style="385" customWidth="1"/>
    <col min="14" max="14" width="19.140625" style="385" customWidth="1"/>
    <col min="15" max="16384" width="8.85546875" style="366"/>
  </cols>
  <sheetData>
    <row r="1" spans="1:15" x14ac:dyDescent="0.3">
      <c r="A1" s="3110" t="s">
        <v>497</v>
      </c>
      <c r="B1" s="3110"/>
      <c r="C1" s="3110"/>
      <c r="D1" s="3110"/>
      <c r="E1" s="3110"/>
      <c r="F1" s="3110"/>
      <c r="G1" s="3110"/>
      <c r="H1" s="3110"/>
      <c r="I1" s="3110"/>
      <c r="J1" s="3110"/>
      <c r="K1" s="3110"/>
      <c r="L1" s="3110"/>
      <c r="M1" s="3110"/>
      <c r="N1" s="3110"/>
    </row>
    <row r="2" spans="1:15" ht="22.5" customHeight="1" thickBot="1" x14ac:dyDescent="0.35">
      <c r="A2" s="383"/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 t="s">
        <v>506</v>
      </c>
    </row>
    <row r="3" spans="1:15" s="673" customFormat="1" ht="30" customHeight="1" x14ac:dyDescent="0.5">
      <c r="A3" s="3277" t="s">
        <v>0</v>
      </c>
      <c r="B3" s="3280" t="s">
        <v>417</v>
      </c>
      <c r="C3" s="3281"/>
      <c r="D3" s="3282"/>
      <c r="E3" s="3283" t="s">
        <v>411</v>
      </c>
      <c r="F3" s="3284"/>
      <c r="G3" s="3284"/>
      <c r="H3" s="3284"/>
      <c r="I3" s="3284"/>
      <c r="J3" s="3284"/>
      <c r="K3" s="3284"/>
      <c r="L3" s="3284"/>
      <c r="M3" s="3285"/>
      <c r="N3" s="3286" t="s">
        <v>421</v>
      </c>
    </row>
    <row r="4" spans="1:15" ht="21.75" customHeight="1" x14ac:dyDescent="0.3">
      <c r="A4" s="3278"/>
      <c r="B4" s="3289" t="s">
        <v>418</v>
      </c>
      <c r="C4" s="3291" t="s">
        <v>500</v>
      </c>
      <c r="D4" s="1019" t="s">
        <v>16</v>
      </c>
      <c r="E4" s="3293" t="s">
        <v>412</v>
      </c>
      <c r="F4" s="3294"/>
      <c r="G4" s="3294"/>
      <c r="H4" s="3294"/>
      <c r="I4" s="3295" t="s">
        <v>416</v>
      </c>
      <c r="J4" s="3295"/>
      <c r="K4" s="3295"/>
      <c r="L4" s="3295"/>
      <c r="M4" s="1040" t="s">
        <v>16</v>
      </c>
      <c r="N4" s="3287"/>
    </row>
    <row r="5" spans="1:15" s="385" customFormat="1" ht="30.75" customHeight="1" x14ac:dyDescent="0.3">
      <c r="A5" s="3278"/>
      <c r="B5" s="3290"/>
      <c r="C5" s="3292"/>
      <c r="D5" s="1020"/>
      <c r="E5" s="3296" t="s">
        <v>415</v>
      </c>
      <c r="F5" s="3298" t="s">
        <v>499</v>
      </c>
      <c r="G5" s="1041"/>
      <c r="H5" s="3300" t="s">
        <v>28</v>
      </c>
      <c r="I5" s="3303" t="s">
        <v>413</v>
      </c>
      <c r="J5" s="1226" t="s">
        <v>414</v>
      </c>
      <c r="K5" s="1042" t="s">
        <v>34</v>
      </c>
      <c r="L5" s="1042" t="s">
        <v>28</v>
      </c>
      <c r="M5" s="1043" t="s">
        <v>419</v>
      </c>
      <c r="N5" s="3287"/>
    </row>
    <row r="6" spans="1:15" s="385" customFormat="1" ht="31.5" customHeight="1" x14ac:dyDescent="0.3">
      <c r="A6" s="3278"/>
      <c r="B6" s="1021"/>
      <c r="C6" s="1007"/>
      <c r="D6" s="1022"/>
      <c r="E6" s="3297"/>
      <c r="F6" s="3299"/>
      <c r="G6" s="1044"/>
      <c r="H6" s="3301"/>
      <c r="I6" s="3303"/>
      <c r="J6" s="1042"/>
      <c r="K6" s="1042"/>
      <c r="L6" s="1042"/>
      <c r="M6" s="1043"/>
      <c r="N6" s="3287"/>
    </row>
    <row r="7" spans="1:15" s="385" customFormat="1" x14ac:dyDescent="0.3">
      <c r="A7" s="3279"/>
      <c r="B7" s="1023"/>
      <c r="C7" s="446"/>
      <c r="D7" s="1024"/>
      <c r="E7" s="1045"/>
      <c r="F7" s="1046"/>
      <c r="G7" s="1046"/>
      <c r="H7" s="3302"/>
      <c r="I7" s="1047"/>
      <c r="J7" s="1047"/>
      <c r="K7" s="1047"/>
      <c r="L7" s="1047"/>
      <c r="M7" s="1238" t="s">
        <v>502</v>
      </c>
      <c r="N7" s="3288"/>
    </row>
    <row r="8" spans="1:15" s="598" customFormat="1" x14ac:dyDescent="0.3">
      <c r="A8" s="1230" t="s">
        <v>65</v>
      </c>
      <c r="B8" s="1236">
        <v>32241750</v>
      </c>
      <c r="C8" s="1002">
        <v>9360131</v>
      </c>
      <c r="D8" s="1231">
        <v>22881619</v>
      </c>
      <c r="E8" s="1232">
        <v>16698050</v>
      </c>
      <c r="F8" s="1002">
        <v>6401950</v>
      </c>
      <c r="G8" s="1003"/>
      <c r="H8" s="1002">
        <v>23100000</v>
      </c>
      <c r="I8" s="1233">
        <v>6217417</v>
      </c>
      <c r="J8" s="1233">
        <v>10893893.99</v>
      </c>
      <c r="K8" s="1233">
        <v>3717206.7200000007</v>
      </c>
      <c r="L8" s="1233">
        <v>20828517.710000001</v>
      </c>
      <c r="M8" s="1234">
        <v>2271482.2899999991</v>
      </c>
      <c r="N8" s="1235"/>
    </row>
    <row r="9" spans="1:15" s="595" customFormat="1" x14ac:dyDescent="0.3">
      <c r="A9" s="1015" t="s">
        <v>253</v>
      </c>
      <c r="B9" s="1025">
        <v>7259500</v>
      </c>
      <c r="C9" s="455">
        <v>5769383</v>
      </c>
      <c r="D9" s="1026">
        <v>1490117</v>
      </c>
      <c r="E9" s="1025">
        <v>4542700</v>
      </c>
      <c r="F9" s="455">
        <v>1269000</v>
      </c>
      <c r="G9" s="1006"/>
      <c r="H9" s="1008">
        <v>5811700</v>
      </c>
      <c r="I9" s="1011">
        <v>4812840</v>
      </c>
      <c r="J9" s="1011">
        <v>741987.27</v>
      </c>
      <c r="K9" s="1011">
        <v>73570</v>
      </c>
      <c r="L9" s="1011">
        <v>5628397.2700000005</v>
      </c>
      <c r="M9" s="1033">
        <v>183302.72999999992</v>
      </c>
      <c r="N9" s="1037"/>
    </row>
    <row r="10" spans="1:15" s="598" customFormat="1" x14ac:dyDescent="0.3">
      <c r="A10" s="18" t="s">
        <v>266</v>
      </c>
      <c r="B10" s="1237">
        <v>835770</v>
      </c>
      <c r="C10" s="819">
        <v>834483</v>
      </c>
      <c r="D10" s="1028">
        <v>1287</v>
      </c>
      <c r="E10" s="1027">
        <v>601400</v>
      </c>
      <c r="F10" s="399">
        <v>34770</v>
      </c>
      <c r="G10" s="399"/>
      <c r="H10" s="1009">
        <v>636170</v>
      </c>
      <c r="I10" s="1012">
        <v>634785</v>
      </c>
      <c r="J10" s="1012">
        <v>0</v>
      </c>
      <c r="K10" s="1012">
        <v>0</v>
      </c>
      <c r="L10" s="1012">
        <v>634785</v>
      </c>
      <c r="M10" s="1034">
        <v>1385</v>
      </c>
      <c r="N10" s="1239" t="s">
        <v>420</v>
      </c>
    </row>
    <row r="11" spans="1:15" s="598" customFormat="1" x14ac:dyDescent="0.3">
      <c r="A11" s="18" t="s">
        <v>267</v>
      </c>
      <c r="B11" s="1237">
        <v>2625130</v>
      </c>
      <c r="C11" s="819">
        <v>2261882</v>
      </c>
      <c r="D11" s="1028">
        <v>363248</v>
      </c>
      <c r="E11" s="1027">
        <v>1318400</v>
      </c>
      <c r="F11" s="399">
        <v>868230</v>
      </c>
      <c r="G11" s="399"/>
      <c r="H11" s="1009">
        <v>2186630</v>
      </c>
      <c r="I11" s="1012">
        <v>1883879</v>
      </c>
      <c r="J11" s="1012">
        <v>184426.7</v>
      </c>
      <c r="K11" s="1012">
        <v>26800</v>
      </c>
      <c r="L11" s="1012">
        <v>2095105.7</v>
      </c>
      <c r="M11" s="1034">
        <v>91524.300000000047</v>
      </c>
      <c r="N11" s="1239" t="s">
        <v>503</v>
      </c>
      <c r="O11" s="1128" t="s">
        <v>423</v>
      </c>
    </row>
    <row r="12" spans="1:15" s="598" customFormat="1" x14ac:dyDescent="0.3">
      <c r="A12" s="18" t="s">
        <v>268</v>
      </c>
      <c r="B12" s="1237">
        <v>966000</v>
      </c>
      <c r="C12" s="819">
        <v>960750</v>
      </c>
      <c r="D12" s="1028">
        <v>5250</v>
      </c>
      <c r="E12" s="1027">
        <v>453900</v>
      </c>
      <c r="F12" s="399">
        <v>366000</v>
      </c>
      <c r="G12" s="399"/>
      <c r="H12" s="1009">
        <v>819900</v>
      </c>
      <c r="I12" s="1012">
        <v>816706</v>
      </c>
      <c r="J12" s="1012">
        <v>0</v>
      </c>
      <c r="K12" s="1012">
        <v>0</v>
      </c>
      <c r="L12" s="1012">
        <v>816706</v>
      </c>
      <c r="M12" s="1034">
        <v>3194</v>
      </c>
      <c r="N12" s="1239" t="s">
        <v>504</v>
      </c>
      <c r="O12" s="366"/>
    </row>
    <row r="13" spans="1:15" x14ac:dyDescent="0.3">
      <c r="A13" s="18" t="s">
        <v>287</v>
      </c>
      <c r="B13" s="1027">
        <v>1545100</v>
      </c>
      <c r="C13" s="371">
        <v>960750</v>
      </c>
      <c r="D13" s="1028">
        <v>584350</v>
      </c>
      <c r="E13" s="1027">
        <v>1235900</v>
      </c>
      <c r="F13" s="399">
        <v>0</v>
      </c>
      <c r="G13" s="399"/>
      <c r="H13" s="1009">
        <v>1235900</v>
      </c>
      <c r="I13" s="1012">
        <v>1018499</v>
      </c>
      <c r="J13" s="1012">
        <v>142016.37</v>
      </c>
      <c r="K13" s="1012">
        <v>46770</v>
      </c>
      <c r="L13" s="1012">
        <v>1207285.3700000001</v>
      </c>
      <c r="M13" s="1034">
        <v>28614.629999999888</v>
      </c>
      <c r="N13" s="1239" t="s">
        <v>422</v>
      </c>
    </row>
    <row r="14" spans="1:15" x14ac:dyDescent="0.3">
      <c r="A14" s="18" t="s">
        <v>404</v>
      </c>
      <c r="B14" s="1027">
        <v>787500</v>
      </c>
      <c r="C14" s="371">
        <v>751518</v>
      </c>
      <c r="D14" s="1028">
        <v>35982</v>
      </c>
      <c r="E14" s="1027">
        <v>508100</v>
      </c>
      <c r="F14" s="399">
        <v>0</v>
      </c>
      <c r="G14" s="399"/>
      <c r="H14" s="1009">
        <v>508100</v>
      </c>
      <c r="I14" s="1012">
        <v>458971</v>
      </c>
      <c r="J14" s="1012">
        <v>29590</v>
      </c>
      <c r="K14" s="1012">
        <v>0</v>
      </c>
      <c r="L14" s="1012">
        <v>488561</v>
      </c>
      <c r="M14" s="1034">
        <v>19539</v>
      </c>
      <c r="N14" s="1239" t="s">
        <v>505</v>
      </c>
    </row>
    <row r="15" spans="1:15" x14ac:dyDescent="0.3">
      <c r="A15" s="18" t="s">
        <v>402</v>
      </c>
      <c r="B15" s="1027">
        <v>500000</v>
      </c>
      <c r="C15" s="371">
        <v>0</v>
      </c>
      <c r="D15" s="1028">
        <v>500000</v>
      </c>
      <c r="E15" s="1027">
        <v>425000</v>
      </c>
      <c r="F15" s="399">
        <v>0</v>
      </c>
      <c r="G15" s="399"/>
      <c r="H15" s="1009">
        <v>425000</v>
      </c>
      <c r="I15" s="1012">
        <v>0</v>
      </c>
      <c r="J15" s="1012">
        <v>385954.2</v>
      </c>
      <c r="K15" s="1012">
        <v>0</v>
      </c>
      <c r="L15" s="1012">
        <v>385954.2</v>
      </c>
      <c r="M15" s="1034">
        <v>39045.799999999988</v>
      </c>
      <c r="N15" s="1239" t="s">
        <v>24</v>
      </c>
    </row>
    <row r="16" spans="1:15" s="385" customFormat="1" x14ac:dyDescent="0.3">
      <c r="A16" s="1015" t="s">
        <v>254</v>
      </c>
      <c r="B16" s="1025">
        <v>5820000</v>
      </c>
      <c r="C16" s="455">
        <v>5820000</v>
      </c>
      <c r="D16" s="1026">
        <v>0</v>
      </c>
      <c r="E16" s="1025">
        <v>4365000</v>
      </c>
      <c r="F16" s="455">
        <v>0</v>
      </c>
      <c r="G16" s="1006"/>
      <c r="H16" s="1008">
        <v>4365000</v>
      </c>
      <c r="I16" s="1011">
        <v>4365000</v>
      </c>
      <c r="J16" s="1011">
        <v>0</v>
      </c>
      <c r="K16" s="1011">
        <v>0</v>
      </c>
      <c r="L16" s="1011">
        <v>4365000</v>
      </c>
      <c r="M16" s="1033">
        <v>0</v>
      </c>
      <c r="N16" s="1240"/>
    </row>
    <row r="17" spans="1:14" s="598" customFormat="1" x14ac:dyDescent="0.3">
      <c r="A17" s="18" t="s">
        <v>269</v>
      </c>
      <c r="B17" s="1050">
        <v>5820000</v>
      </c>
      <c r="C17" s="372">
        <v>5820000</v>
      </c>
      <c r="D17" s="1051">
        <v>0</v>
      </c>
      <c r="E17" s="1050">
        <v>4365000</v>
      </c>
      <c r="F17" s="1052">
        <v>0</v>
      </c>
      <c r="G17" s="1052"/>
      <c r="H17" s="1009">
        <v>4365000</v>
      </c>
      <c r="I17" s="1012">
        <v>4365000</v>
      </c>
      <c r="J17" s="1012">
        <v>0</v>
      </c>
      <c r="K17" s="1012">
        <v>0</v>
      </c>
      <c r="L17" s="1012">
        <v>4365000</v>
      </c>
      <c r="M17" s="1034">
        <v>0</v>
      </c>
      <c r="N17" s="1048"/>
    </row>
    <row r="18" spans="1:14" hidden="1" x14ac:dyDescent="0.3">
      <c r="A18" s="1016" t="s">
        <v>270</v>
      </c>
      <c r="B18" s="1029">
        <v>0</v>
      </c>
      <c r="C18" s="435"/>
      <c r="D18" s="1030"/>
      <c r="E18" s="1029">
        <v>0</v>
      </c>
      <c r="F18" s="436">
        <v>0</v>
      </c>
      <c r="G18" s="436"/>
      <c r="H18" s="501">
        <v>0</v>
      </c>
      <c r="I18" s="1013"/>
      <c r="J18" s="1013"/>
      <c r="K18" s="1013"/>
      <c r="L18" s="1013"/>
      <c r="M18" s="1035"/>
      <c r="N18" s="1038"/>
    </row>
    <row r="19" spans="1:14" hidden="1" x14ac:dyDescent="0.3">
      <c r="A19" s="1016" t="s">
        <v>271</v>
      </c>
      <c r="B19" s="1029"/>
      <c r="C19" s="435"/>
      <c r="D19" s="1030"/>
      <c r="E19" s="1029">
        <v>0</v>
      </c>
      <c r="F19" s="436">
        <v>0</v>
      </c>
      <c r="G19" s="436"/>
      <c r="H19" s="501">
        <v>0</v>
      </c>
      <c r="I19" s="1013"/>
      <c r="J19" s="1013"/>
      <c r="K19" s="1013"/>
      <c r="L19" s="1013"/>
      <c r="M19" s="1035"/>
      <c r="N19" s="1038"/>
    </row>
    <row r="20" spans="1:14" hidden="1" x14ac:dyDescent="0.3">
      <c r="A20" s="1016" t="s">
        <v>272</v>
      </c>
      <c r="B20" s="1029"/>
      <c r="C20" s="435"/>
      <c r="D20" s="1030"/>
      <c r="E20" s="1029">
        <v>0</v>
      </c>
      <c r="F20" s="436">
        <v>0</v>
      </c>
      <c r="G20" s="436"/>
      <c r="H20" s="501">
        <v>0</v>
      </c>
      <c r="I20" s="1013"/>
      <c r="J20" s="1013"/>
      <c r="K20" s="1013"/>
      <c r="L20" s="1013"/>
      <c r="M20" s="1035"/>
      <c r="N20" s="1038"/>
    </row>
    <row r="21" spans="1:14" hidden="1" x14ac:dyDescent="0.3">
      <c r="A21" s="1016" t="s">
        <v>278</v>
      </c>
      <c r="B21" s="1029"/>
      <c r="C21" s="435"/>
      <c r="D21" s="1030"/>
      <c r="E21" s="1029"/>
      <c r="F21" s="436"/>
      <c r="G21" s="436"/>
      <c r="H21" s="501">
        <v>0</v>
      </c>
      <c r="I21" s="1013"/>
      <c r="J21" s="1013"/>
      <c r="K21" s="1013"/>
      <c r="L21" s="1013"/>
      <c r="M21" s="1035"/>
      <c r="N21" s="1038"/>
    </row>
    <row r="22" spans="1:14" s="385" customFormat="1" x14ac:dyDescent="0.3">
      <c r="A22" s="1015" t="s">
        <v>255</v>
      </c>
      <c r="B22" s="1025">
        <v>59408000</v>
      </c>
      <c r="C22" s="455">
        <v>1269000</v>
      </c>
      <c r="D22" s="1026">
        <v>58139000</v>
      </c>
      <c r="E22" s="1025">
        <v>58139000</v>
      </c>
      <c r="F22" s="455">
        <v>0</v>
      </c>
      <c r="G22" s="455"/>
      <c r="H22" s="1006">
        <v>58139000</v>
      </c>
      <c r="I22" s="455">
        <v>0</v>
      </c>
      <c r="J22" s="455">
        <v>6148350</v>
      </c>
      <c r="K22" s="455">
        <v>42651650</v>
      </c>
      <c r="L22" s="455">
        <v>48800000</v>
      </c>
      <c r="M22" s="1026">
        <v>9339000</v>
      </c>
      <c r="N22" s="1049"/>
    </row>
    <row r="23" spans="1:14" s="598" customFormat="1" x14ac:dyDescent="0.3">
      <c r="A23" s="1053" t="s">
        <v>384</v>
      </c>
      <c r="B23" s="1237">
        <v>42408000</v>
      </c>
      <c r="C23" s="372">
        <v>1269000</v>
      </c>
      <c r="D23" s="1051">
        <v>41139000</v>
      </c>
      <c r="E23" s="1050">
        <v>41139000</v>
      </c>
      <c r="F23" s="1052">
        <v>0</v>
      </c>
      <c r="G23" s="1052"/>
      <c r="H23" s="1009">
        <v>41139000</v>
      </c>
      <c r="I23" s="1054">
        <v>0</v>
      </c>
      <c r="J23" s="1012">
        <v>6148350</v>
      </c>
      <c r="K23" s="1012">
        <v>34840650</v>
      </c>
      <c r="L23" s="1012">
        <v>40989000</v>
      </c>
      <c r="M23" s="1034">
        <v>150000</v>
      </c>
      <c r="N23" s="1055"/>
    </row>
    <row r="24" spans="1:14" x14ac:dyDescent="0.3">
      <c r="A24" s="18" t="s">
        <v>385</v>
      </c>
      <c r="B24" s="1050">
        <v>10000000</v>
      </c>
      <c r="C24" s="372">
        <v>0</v>
      </c>
      <c r="D24" s="1051">
        <v>10000000</v>
      </c>
      <c r="E24" s="1050">
        <v>10000000</v>
      </c>
      <c r="F24" s="1052">
        <v>0</v>
      </c>
      <c r="G24" s="1052"/>
      <c r="H24" s="1009">
        <v>10000000</v>
      </c>
      <c r="I24" s="1054">
        <v>0</v>
      </c>
      <c r="J24" s="1012">
        <v>0</v>
      </c>
      <c r="K24" s="1012">
        <v>7811000</v>
      </c>
      <c r="L24" s="1012">
        <v>7811000</v>
      </c>
      <c r="M24" s="1034">
        <v>2189000</v>
      </c>
      <c r="N24" s="1048"/>
    </row>
    <row r="25" spans="1:14" x14ac:dyDescent="0.3">
      <c r="A25" s="18" t="s">
        <v>386</v>
      </c>
      <c r="B25" s="1050">
        <v>7000000</v>
      </c>
      <c r="C25" s="372">
        <v>0</v>
      </c>
      <c r="D25" s="1051">
        <v>7000000</v>
      </c>
      <c r="E25" s="1050">
        <v>7000000</v>
      </c>
      <c r="F25" s="1052">
        <v>0</v>
      </c>
      <c r="G25" s="1052"/>
      <c r="H25" s="1009">
        <v>7000000</v>
      </c>
      <c r="I25" s="1054">
        <v>0</v>
      </c>
      <c r="J25" s="1012">
        <v>0</v>
      </c>
      <c r="K25" s="1012">
        <v>0</v>
      </c>
      <c r="L25" s="1012">
        <v>0</v>
      </c>
      <c r="M25" s="1034">
        <v>7000000</v>
      </c>
      <c r="N25" s="1048"/>
    </row>
    <row r="26" spans="1:14" hidden="1" x14ac:dyDescent="0.3">
      <c r="A26" s="1018" t="s">
        <v>387</v>
      </c>
      <c r="B26" s="1031"/>
      <c r="C26" s="427"/>
      <c r="D26" s="1032">
        <v>0</v>
      </c>
      <c r="E26" s="1031">
        <v>0</v>
      </c>
      <c r="F26" s="428">
        <v>0</v>
      </c>
      <c r="G26" s="428"/>
      <c r="H26" s="1010">
        <v>0</v>
      </c>
      <c r="I26" s="1014"/>
      <c r="J26" s="1014"/>
      <c r="K26" s="1014"/>
      <c r="L26" s="1014">
        <v>0</v>
      </c>
      <c r="M26" s="1036"/>
      <c r="N26" s="1039"/>
    </row>
    <row r="27" spans="1:14" hidden="1" x14ac:dyDescent="0.3">
      <c r="A27" s="1018" t="s">
        <v>388</v>
      </c>
      <c r="B27" s="1031"/>
      <c r="C27" s="427"/>
      <c r="D27" s="1032">
        <v>0</v>
      </c>
      <c r="E27" s="1031">
        <v>0</v>
      </c>
      <c r="F27" s="428">
        <v>0</v>
      </c>
      <c r="G27" s="428"/>
      <c r="H27" s="1010">
        <v>0</v>
      </c>
      <c r="I27" s="1014"/>
      <c r="J27" s="1014"/>
      <c r="K27" s="1014"/>
      <c r="L27" s="1014">
        <v>0</v>
      </c>
      <c r="M27" s="1036"/>
      <c r="N27" s="1039"/>
    </row>
    <row r="28" spans="1:14" hidden="1" x14ac:dyDescent="0.3">
      <c r="A28" s="1017" t="s">
        <v>389</v>
      </c>
      <c r="B28" s="1031"/>
      <c r="C28" s="427"/>
      <c r="D28" s="1032">
        <v>0</v>
      </c>
      <c r="E28" s="1031">
        <v>0</v>
      </c>
      <c r="F28" s="428"/>
      <c r="G28" s="428"/>
      <c r="H28" s="1010">
        <v>0</v>
      </c>
      <c r="I28" s="1014"/>
      <c r="J28" s="1014"/>
      <c r="K28" s="1014"/>
      <c r="L28" s="1014">
        <v>0</v>
      </c>
      <c r="M28" s="1036"/>
      <c r="N28" s="1039"/>
    </row>
    <row r="29" spans="1:14" s="449" customFormat="1" ht="32.25" customHeight="1" thickBot="1" x14ac:dyDescent="0.55000000000000004">
      <c r="A29" s="1056" t="s">
        <v>28</v>
      </c>
      <c r="B29" s="1057">
        <v>104729250</v>
      </c>
      <c r="C29" s="1058">
        <v>22218514</v>
      </c>
      <c r="D29" s="1059">
        <v>82510736</v>
      </c>
      <c r="E29" s="1057">
        <v>83744750</v>
      </c>
      <c r="F29" s="1058">
        <v>7670950</v>
      </c>
      <c r="G29" s="1060"/>
      <c r="H29" s="1060">
        <v>91415700</v>
      </c>
      <c r="I29" s="1060">
        <v>15395257</v>
      </c>
      <c r="J29" s="1060">
        <v>17784231.259999998</v>
      </c>
      <c r="K29" s="1060">
        <v>46442426.719999999</v>
      </c>
      <c r="L29" s="1060">
        <v>79621914.980000004</v>
      </c>
      <c r="M29" s="1059">
        <v>11793785.02</v>
      </c>
      <c r="N29" s="1061"/>
    </row>
    <row r="30" spans="1:14" s="449" customFormat="1" ht="32.25" customHeight="1" x14ac:dyDescent="0.5">
      <c r="A30" s="791"/>
      <c r="B30" s="792"/>
      <c r="C30" s="792"/>
      <c r="D30" s="792"/>
      <c r="E30" s="792"/>
      <c r="F30" s="792"/>
      <c r="G30" s="792"/>
      <c r="H30" s="792"/>
      <c r="I30" s="792"/>
      <c r="J30" s="792"/>
      <c r="K30" s="792"/>
      <c r="L30" s="792"/>
      <c r="M30" s="792"/>
      <c r="N30" s="792"/>
    </row>
    <row r="31" spans="1:14" s="449" customFormat="1" ht="32.25" customHeight="1" x14ac:dyDescent="0.5">
      <c r="A31" s="791"/>
      <c r="B31" s="792"/>
      <c r="C31" s="792"/>
      <c r="D31" s="792"/>
      <c r="E31" s="792"/>
      <c r="F31" s="792"/>
      <c r="G31" s="792"/>
      <c r="H31" s="792"/>
      <c r="I31" s="792"/>
      <c r="J31" s="792"/>
      <c r="K31" s="792"/>
      <c r="L31" s="792"/>
      <c r="M31" s="792"/>
      <c r="N31" s="792"/>
    </row>
  </sheetData>
  <mergeCells count="13">
    <mergeCell ref="A1:N1"/>
    <mergeCell ref="A3:A7"/>
    <mergeCell ref="B3:D3"/>
    <mergeCell ref="E3:M3"/>
    <mergeCell ref="N3:N7"/>
    <mergeCell ref="B4:B5"/>
    <mergeCell ref="C4:C5"/>
    <mergeCell ref="E4:H4"/>
    <mergeCell ref="I4:L4"/>
    <mergeCell ref="E5:E6"/>
    <mergeCell ref="F5:F6"/>
    <mergeCell ref="H5:H7"/>
    <mergeCell ref="I5:I6"/>
  </mergeCells>
  <pageMargins left="0" right="0" top="0.55118110236220474" bottom="0" header="0.31496062992125984" footer="0.31496062992125984"/>
  <pageSetup paperSize="9" scale="90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O31"/>
  <sheetViews>
    <sheetView zoomScaleNormal="100" zoomScaleSheetLayoutView="100" workbookViewId="0">
      <pane ySplit="7" topLeftCell="A23" activePane="bottomLeft" state="frozen"/>
      <selection pane="bottomLeft" activeCell="E33" sqref="E33"/>
    </sheetView>
  </sheetViews>
  <sheetFormatPr defaultColWidth="8.85546875" defaultRowHeight="18.75" x14ac:dyDescent="0.3"/>
  <cols>
    <col min="1" max="1" width="26.28515625" style="366" customWidth="1"/>
    <col min="2" max="2" width="12.7109375" style="366" customWidth="1"/>
    <col min="3" max="3" width="11.42578125" style="366" customWidth="1"/>
    <col min="4" max="4" width="11.28515625" style="366" customWidth="1"/>
    <col min="5" max="5" width="12.140625" style="366" customWidth="1"/>
    <col min="6" max="6" width="11.85546875" style="366" customWidth="1"/>
    <col min="7" max="7" width="11.85546875" style="366" hidden="1" customWidth="1"/>
    <col min="8" max="8" width="12.140625" style="385" customWidth="1"/>
    <col min="9" max="9" width="11.7109375" style="385" customWidth="1"/>
    <col min="10" max="10" width="11.42578125" style="385" customWidth="1"/>
    <col min="11" max="13" width="12.140625" style="385" customWidth="1"/>
    <col min="14" max="14" width="19.140625" style="385" customWidth="1"/>
    <col min="15" max="16384" width="8.85546875" style="366"/>
  </cols>
  <sheetData>
    <row r="1" spans="1:15" x14ac:dyDescent="0.3">
      <c r="A1" s="3110" t="s">
        <v>497</v>
      </c>
      <c r="B1" s="3110"/>
      <c r="C1" s="3110"/>
      <c r="D1" s="3110"/>
      <c r="E1" s="3110"/>
      <c r="F1" s="3110"/>
      <c r="G1" s="3110"/>
      <c r="H1" s="3110"/>
      <c r="I1" s="3110"/>
      <c r="J1" s="3110"/>
      <c r="K1" s="3110"/>
      <c r="L1" s="3110"/>
      <c r="M1" s="3110"/>
      <c r="N1" s="3110"/>
    </row>
    <row r="2" spans="1:15" ht="22.5" customHeight="1" thickBot="1" x14ac:dyDescent="0.35">
      <c r="A2" s="383"/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1244">
        <f ca="1">+TODAY()</f>
        <v>45660</v>
      </c>
    </row>
    <row r="3" spans="1:15" s="673" customFormat="1" ht="30" customHeight="1" x14ac:dyDescent="0.5">
      <c r="A3" s="3277" t="s">
        <v>0</v>
      </c>
      <c r="B3" s="3280" t="s">
        <v>417</v>
      </c>
      <c r="C3" s="3281"/>
      <c r="D3" s="3282"/>
      <c r="E3" s="3283" t="s">
        <v>411</v>
      </c>
      <c r="F3" s="3284"/>
      <c r="G3" s="3284"/>
      <c r="H3" s="3284"/>
      <c r="I3" s="3284"/>
      <c r="J3" s="3284"/>
      <c r="K3" s="3284"/>
      <c r="L3" s="3284"/>
      <c r="M3" s="3285"/>
      <c r="N3" s="3286" t="s">
        <v>421</v>
      </c>
    </row>
    <row r="4" spans="1:15" ht="21.75" customHeight="1" x14ac:dyDescent="0.3">
      <c r="A4" s="3278"/>
      <c r="B4" s="3289" t="s">
        <v>418</v>
      </c>
      <c r="C4" s="3291" t="s">
        <v>500</v>
      </c>
      <c r="D4" s="1019" t="s">
        <v>16</v>
      </c>
      <c r="E4" s="3293" t="s">
        <v>412</v>
      </c>
      <c r="F4" s="3294"/>
      <c r="G4" s="3294"/>
      <c r="H4" s="3294"/>
      <c r="I4" s="3295" t="s">
        <v>416</v>
      </c>
      <c r="J4" s="3295"/>
      <c r="K4" s="3295"/>
      <c r="L4" s="3295"/>
      <c r="M4" s="1040" t="s">
        <v>16</v>
      </c>
      <c r="N4" s="3287"/>
    </row>
    <row r="5" spans="1:15" s="385" customFormat="1" ht="30.75" customHeight="1" x14ac:dyDescent="0.3">
      <c r="A5" s="3278"/>
      <c r="B5" s="3290"/>
      <c r="C5" s="3292"/>
      <c r="D5" s="1020"/>
      <c r="E5" s="3296" t="s">
        <v>415</v>
      </c>
      <c r="F5" s="3298" t="s">
        <v>499</v>
      </c>
      <c r="G5" s="1041"/>
      <c r="H5" s="3300" t="s">
        <v>28</v>
      </c>
      <c r="I5" s="3303" t="s">
        <v>413</v>
      </c>
      <c r="J5" s="1226" t="s">
        <v>414</v>
      </c>
      <c r="K5" s="1042" t="s">
        <v>34</v>
      </c>
      <c r="L5" s="1042" t="s">
        <v>28</v>
      </c>
      <c r="M5" s="1043" t="s">
        <v>419</v>
      </c>
      <c r="N5" s="3287"/>
    </row>
    <row r="6" spans="1:15" s="385" customFormat="1" ht="31.5" customHeight="1" x14ac:dyDescent="0.3">
      <c r="A6" s="3278"/>
      <c r="B6" s="1021"/>
      <c r="C6" s="1007"/>
      <c r="D6" s="1022"/>
      <c r="E6" s="3297"/>
      <c r="F6" s="3299"/>
      <c r="G6" s="1044"/>
      <c r="H6" s="3301"/>
      <c r="I6" s="3303"/>
      <c r="J6" s="1042"/>
      <c r="K6" s="1042"/>
      <c r="L6" s="1042"/>
      <c r="M6" s="1043"/>
      <c r="N6" s="3287"/>
    </row>
    <row r="7" spans="1:15" s="385" customFormat="1" x14ac:dyDescent="0.3">
      <c r="A7" s="3279"/>
      <c r="B7" s="1023"/>
      <c r="C7" s="446"/>
      <c r="D7" s="1024"/>
      <c r="E7" s="1045"/>
      <c r="F7" s="1046"/>
      <c r="G7" s="1046"/>
      <c r="H7" s="3302"/>
      <c r="I7" s="1047"/>
      <c r="J7" s="1047"/>
      <c r="K7" s="1047"/>
      <c r="L7" s="1047"/>
      <c r="M7" s="1238" t="s">
        <v>502</v>
      </c>
      <c r="N7" s="3288"/>
    </row>
    <row r="8" spans="1:15" s="598" customFormat="1" x14ac:dyDescent="0.3">
      <c r="A8" s="1230" t="s">
        <v>65</v>
      </c>
      <c r="B8" s="1236">
        <f>22264100+6789250+366000+2822400</f>
        <v>32241750</v>
      </c>
      <c r="C8" s="1002">
        <f>9705821+20310-366000</f>
        <v>9360131</v>
      </c>
      <c r="D8" s="1231">
        <f t="shared" ref="D8:D17" si="0">+B8-C8</f>
        <v>22881619</v>
      </c>
      <c r="E8" s="1232">
        <f>11132050+5566000</f>
        <v>16698050</v>
      </c>
      <c r="F8" s="1002">
        <f>366000+4624750+1411200</f>
        <v>6401950</v>
      </c>
      <c r="G8" s="1003"/>
      <c r="H8" s="1002">
        <f>SUM(E8:F8)</f>
        <v>23100000</v>
      </c>
      <c r="I8" s="1233">
        <f>3184093+1601814+20310+1411200</f>
        <v>6217417</v>
      </c>
      <c r="J8" s="1233">
        <f>+'5สรุปรายงบ (66 พลางก่อน)'!I8</f>
        <v>-973615</v>
      </c>
      <c r="K8" s="1233">
        <f>+('5สรุปรายงบ (66 พลางก่อน)'!H8)-(721500*3)-(766260+115440+155100)-(373323*3)</f>
        <v>-4321269</v>
      </c>
      <c r="L8" s="1233">
        <f>SUM(I8:K8)</f>
        <v>922533</v>
      </c>
      <c r="M8" s="1234">
        <f>+H8-L8</f>
        <v>22177467</v>
      </c>
      <c r="N8" s="1235"/>
    </row>
    <row r="9" spans="1:15" s="595" customFormat="1" x14ac:dyDescent="0.3">
      <c r="A9" s="1015" t="s">
        <v>253</v>
      </c>
      <c r="B9" s="1025" t="e">
        <f>SUM(B10:B15)</f>
        <v>#REF!</v>
      </c>
      <c r="C9" s="455" t="e">
        <f>SUM(C10:C15)</f>
        <v>#REF!</v>
      </c>
      <c r="D9" s="1026" t="e">
        <f t="shared" si="0"/>
        <v>#REF!</v>
      </c>
      <c r="E9" s="1025">
        <f>SUM(E10:E15)</f>
        <v>4542700</v>
      </c>
      <c r="F9" s="455">
        <f>SUM(F10:F15)</f>
        <v>1269000</v>
      </c>
      <c r="G9" s="1006"/>
      <c r="H9" s="1008">
        <f>SUM(E9:F9)</f>
        <v>5811700</v>
      </c>
      <c r="I9" s="1011">
        <f>SUM(I10:I15)</f>
        <v>4812840</v>
      </c>
      <c r="J9" s="1011" t="e">
        <f>SUM(J10:J15)</f>
        <v>#REF!</v>
      </c>
      <c r="K9" s="1011" t="e">
        <f>SUM(K10:K15)</f>
        <v>#REF!</v>
      </c>
      <c r="L9" s="1011" t="e">
        <f>SUM(L10:L15)</f>
        <v>#REF!</v>
      </c>
      <c r="M9" s="1033" t="e">
        <f>SUM(M10:M15)</f>
        <v>#REF!</v>
      </c>
      <c r="N9" s="1037"/>
    </row>
    <row r="10" spans="1:15" s="598" customFormat="1" x14ac:dyDescent="0.3">
      <c r="A10" s="18" t="s">
        <v>266</v>
      </c>
      <c r="B10" s="1237">
        <f>801000+34770</f>
        <v>835770</v>
      </c>
      <c r="C10" s="819">
        <f>799713+34770</f>
        <v>834483</v>
      </c>
      <c r="D10" s="1028">
        <f>+B10-C10</f>
        <v>1287</v>
      </c>
      <c r="E10" s="1027">
        <f>400500+200900</f>
        <v>601400</v>
      </c>
      <c r="F10" s="399">
        <v>34770</v>
      </c>
      <c r="G10" s="399"/>
      <c r="H10" s="1009">
        <f t="shared" ref="H10:H21" si="1">SUM(E10:F10)</f>
        <v>636170</v>
      </c>
      <c r="I10" s="1012">
        <f>400314+199700+34771</f>
        <v>634785</v>
      </c>
      <c r="J10" s="1012">
        <f>+'5สรุปรายงบ (66 พลางก่อน)'!I22</f>
        <v>311386</v>
      </c>
      <c r="K10" s="1012">
        <f>+'5สรุปรายงบ (66 พลางก่อน)'!H22</f>
        <v>30600</v>
      </c>
      <c r="L10" s="1012">
        <f t="shared" ref="L10:L15" si="2">SUM(I10:K10)</f>
        <v>976771</v>
      </c>
      <c r="M10" s="1034">
        <f t="shared" ref="M10:M17" si="3">+H10-L10</f>
        <v>-340601</v>
      </c>
      <c r="N10" s="1239" t="s">
        <v>420</v>
      </c>
    </row>
    <row r="11" spans="1:15" s="598" customFormat="1" x14ac:dyDescent="0.3">
      <c r="A11" s="18" t="s">
        <v>267</v>
      </c>
      <c r="B11" s="1237">
        <f>1756900+868230</f>
        <v>2625130</v>
      </c>
      <c r="C11" s="819">
        <f>1400864+861018</f>
        <v>2261882</v>
      </c>
      <c r="D11" s="1028">
        <f t="shared" si="0"/>
        <v>363248</v>
      </c>
      <c r="E11" s="1027">
        <f>878500+439900</f>
        <v>1318400</v>
      </c>
      <c r="F11" s="399">
        <v>868230</v>
      </c>
      <c r="G11" s="399"/>
      <c r="H11" s="1009">
        <f t="shared" si="1"/>
        <v>2186630</v>
      </c>
      <c r="I11" s="1012">
        <f>692107+330754+861018</f>
        <v>1883879</v>
      </c>
      <c r="J11" s="1012">
        <f>+'5สรุปรายงบ (66 พลางก่อน)'!I23</f>
        <v>291384</v>
      </c>
      <c r="K11" s="1012">
        <f>+'5สรุปรายงบ (66 พลางก่อน)'!H23-((12500*3)+(14300*3))</f>
        <v>-10538</v>
      </c>
      <c r="L11" s="1012">
        <f t="shared" si="2"/>
        <v>2164725</v>
      </c>
      <c r="M11" s="1034">
        <f t="shared" si="3"/>
        <v>21905</v>
      </c>
      <c r="N11" s="1239" t="s">
        <v>503</v>
      </c>
      <c r="O11" s="1128" t="s">
        <v>423</v>
      </c>
    </row>
    <row r="12" spans="1:15" s="598" customFormat="1" x14ac:dyDescent="0.3">
      <c r="A12" s="18" t="s">
        <v>268</v>
      </c>
      <c r="B12" s="1237">
        <f>600000+366000</f>
        <v>966000</v>
      </c>
      <c r="C12" s="819">
        <f>594750+366000</f>
        <v>960750</v>
      </c>
      <c r="D12" s="1028">
        <f t="shared" si="0"/>
        <v>5250</v>
      </c>
      <c r="E12" s="1027">
        <f>300000+153900</f>
        <v>453900</v>
      </c>
      <c r="F12" s="399">
        <v>366000</v>
      </c>
      <c r="G12" s="399"/>
      <c r="H12" s="1009">
        <f t="shared" si="1"/>
        <v>819900</v>
      </c>
      <c r="I12" s="1012">
        <f>297378+153328+366000</f>
        <v>816706</v>
      </c>
      <c r="J12" s="1012" t="e">
        <f>+'5สรุปรายงบ (66 พลางก่อน)'!#REF!</f>
        <v>#REF!</v>
      </c>
      <c r="K12" s="1012" t="e">
        <f>+'5สรุปรายงบ (66 พลางก่อน)'!#REF!</f>
        <v>#REF!</v>
      </c>
      <c r="L12" s="1012" t="e">
        <f t="shared" si="2"/>
        <v>#REF!</v>
      </c>
      <c r="M12" s="1034" t="e">
        <f t="shared" si="3"/>
        <v>#REF!</v>
      </c>
      <c r="N12" s="1239" t="s">
        <v>504</v>
      </c>
      <c r="O12" s="366"/>
    </row>
    <row r="13" spans="1:15" x14ac:dyDescent="0.3">
      <c r="A13" s="18" t="s">
        <v>287</v>
      </c>
      <c r="B13" s="1027" t="e">
        <f>+'5สรุปรายงบ (66 พลางก่อน)'!#REF!</f>
        <v>#REF!</v>
      </c>
      <c r="C13" s="371" t="e">
        <f>+'5สรุปรายงบ (66 พลางก่อน)'!#REF!</f>
        <v>#REF!</v>
      </c>
      <c r="D13" s="1028" t="e">
        <f t="shared" si="0"/>
        <v>#REF!</v>
      </c>
      <c r="E13" s="1027">
        <f>772500+463400</f>
        <v>1235900</v>
      </c>
      <c r="F13" s="399">
        <v>0</v>
      </c>
      <c r="G13" s="399"/>
      <c r="H13" s="1009">
        <f t="shared" si="1"/>
        <v>1235900</v>
      </c>
      <c r="I13" s="1012">
        <f>565833+452666</f>
        <v>1018499</v>
      </c>
      <c r="J13" s="1012" t="e">
        <f>+'5สรุปรายงบ (66 พลางก่อน)'!#REF!</f>
        <v>#REF!</v>
      </c>
      <c r="K13" s="1012" t="e">
        <f>+'5สรุปรายงบ (66 พลางก่อน)'!#REF!</f>
        <v>#REF!</v>
      </c>
      <c r="L13" s="1012" t="e">
        <f t="shared" si="2"/>
        <v>#REF!</v>
      </c>
      <c r="M13" s="1034" t="e">
        <f t="shared" si="3"/>
        <v>#REF!</v>
      </c>
      <c r="N13" s="1239" t="s">
        <v>422</v>
      </c>
    </row>
    <row r="14" spans="1:15" x14ac:dyDescent="0.3">
      <c r="A14" s="18" t="s">
        <v>404</v>
      </c>
      <c r="B14" s="1027">
        <f>+'5สรุปรายงบ (66 พลางก่อน)'!B26</f>
        <v>2304100</v>
      </c>
      <c r="C14" s="371">
        <f>+'5สรุปรายงบ (66 พลางก่อน)'!E26</f>
        <v>2125490</v>
      </c>
      <c r="D14" s="1028">
        <f t="shared" si="0"/>
        <v>178610</v>
      </c>
      <c r="E14" s="1027">
        <f>393800+114300</f>
        <v>508100</v>
      </c>
      <c r="F14" s="399">
        <v>0</v>
      </c>
      <c r="G14" s="399"/>
      <c r="H14" s="1009">
        <f t="shared" si="1"/>
        <v>508100</v>
      </c>
      <c r="I14" s="1012">
        <f>380671+78300</f>
        <v>458971</v>
      </c>
      <c r="J14" s="1012">
        <f>+'5สรุปรายงบ (66 พลางก่อน)'!I26</f>
        <v>108974</v>
      </c>
      <c r="K14" s="1012">
        <f>+'5สรุปรายงบ (66 พลางก่อน)'!H26</f>
        <v>206918</v>
      </c>
      <c r="L14" s="1012">
        <f t="shared" si="2"/>
        <v>774863</v>
      </c>
      <c r="M14" s="1034">
        <f t="shared" si="3"/>
        <v>-266763</v>
      </c>
      <c r="N14" s="1239" t="s">
        <v>505</v>
      </c>
    </row>
    <row r="15" spans="1:15" x14ac:dyDescent="0.3">
      <c r="A15" s="18" t="s">
        <v>402</v>
      </c>
      <c r="B15" s="1027">
        <v>500000</v>
      </c>
      <c r="C15" s="371">
        <v>0</v>
      </c>
      <c r="D15" s="1028">
        <f t="shared" si="0"/>
        <v>500000</v>
      </c>
      <c r="E15" s="1027">
        <f>400000+25000</f>
        <v>425000</v>
      </c>
      <c r="F15" s="399">
        <v>0</v>
      </c>
      <c r="G15" s="399"/>
      <c r="H15" s="1009">
        <f>SUM(E15:F15)</f>
        <v>425000</v>
      </c>
      <c r="I15" s="1012">
        <v>0</v>
      </c>
      <c r="J15" s="1012">
        <f>+'5สรุปรายงบ (66 พลางก่อน)'!I27</f>
        <v>0</v>
      </c>
      <c r="K15" s="1012">
        <f>+'5สรุปรายงบ (66 พลางก่อน)'!H27</f>
        <v>0</v>
      </c>
      <c r="L15" s="1012">
        <f t="shared" si="2"/>
        <v>0</v>
      </c>
      <c r="M15" s="1034">
        <f t="shared" si="3"/>
        <v>425000</v>
      </c>
      <c r="N15" s="1239" t="s">
        <v>24</v>
      </c>
    </row>
    <row r="16" spans="1:15" s="385" customFormat="1" x14ac:dyDescent="0.3">
      <c r="A16" s="1015" t="s">
        <v>254</v>
      </c>
      <c r="B16" s="1025">
        <f>SUM(B17:B21)</f>
        <v>5820000</v>
      </c>
      <c r="C16" s="455">
        <f>SUM(C17:C21)</f>
        <v>5820000</v>
      </c>
      <c r="D16" s="1026">
        <f t="shared" si="0"/>
        <v>0</v>
      </c>
      <c r="E16" s="1025">
        <f>SUM(E17:E21)</f>
        <v>4365000</v>
      </c>
      <c r="F16" s="455">
        <v>0</v>
      </c>
      <c r="G16" s="1006"/>
      <c r="H16" s="1008">
        <f t="shared" si="1"/>
        <v>4365000</v>
      </c>
      <c r="I16" s="1011">
        <f>+I17</f>
        <v>4365000</v>
      </c>
      <c r="J16" s="1011">
        <f>+J17</f>
        <v>0</v>
      </c>
      <c r="K16" s="1011">
        <f>+K17</f>
        <v>0</v>
      </c>
      <c r="L16" s="1011">
        <f>+L17</f>
        <v>4365000</v>
      </c>
      <c r="M16" s="1033">
        <f t="shared" si="3"/>
        <v>0</v>
      </c>
      <c r="N16" s="1240"/>
    </row>
    <row r="17" spans="1:14" s="598" customFormat="1" x14ac:dyDescent="0.3">
      <c r="A17" s="18" t="s">
        <v>269</v>
      </c>
      <c r="B17" s="1050">
        <v>5820000</v>
      </c>
      <c r="C17" s="372">
        <v>5820000</v>
      </c>
      <c r="D17" s="1051">
        <f t="shared" si="0"/>
        <v>0</v>
      </c>
      <c r="E17" s="1050">
        <f>2910000+1455000</f>
        <v>4365000</v>
      </c>
      <c r="F17" s="1052">
        <v>0</v>
      </c>
      <c r="G17" s="1052"/>
      <c r="H17" s="1009">
        <f t="shared" si="1"/>
        <v>4365000</v>
      </c>
      <c r="I17" s="1012">
        <f>2910000+1455000</f>
        <v>4365000</v>
      </c>
      <c r="J17" s="1012">
        <v>0</v>
      </c>
      <c r="K17" s="1012">
        <v>0</v>
      </c>
      <c r="L17" s="1012">
        <f>SUM(I17:K17)</f>
        <v>4365000</v>
      </c>
      <c r="M17" s="1034">
        <f t="shared" si="3"/>
        <v>0</v>
      </c>
      <c r="N17" s="1048"/>
    </row>
    <row r="18" spans="1:14" hidden="1" x14ac:dyDescent="0.3">
      <c r="A18" s="1016" t="s">
        <v>270</v>
      </c>
      <c r="B18" s="1029">
        <v>0</v>
      </c>
      <c r="C18" s="435"/>
      <c r="D18" s="1030"/>
      <c r="E18" s="1029">
        <v>0</v>
      </c>
      <c r="F18" s="436">
        <v>0</v>
      </c>
      <c r="G18" s="436"/>
      <c r="H18" s="501">
        <f t="shared" si="1"/>
        <v>0</v>
      </c>
      <c r="I18" s="1013"/>
      <c r="J18" s="1013"/>
      <c r="K18" s="1013"/>
      <c r="L18" s="1013"/>
      <c r="M18" s="1035"/>
      <c r="N18" s="1038"/>
    </row>
    <row r="19" spans="1:14" hidden="1" x14ac:dyDescent="0.3">
      <c r="A19" s="1016" t="s">
        <v>271</v>
      </c>
      <c r="B19" s="1029"/>
      <c r="C19" s="435"/>
      <c r="D19" s="1030"/>
      <c r="E19" s="1029">
        <v>0</v>
      </c>
      <c r="F19" s="436">
        <v>0</v>
      </c>
      <c r="G19" s="436"/>
      <c r="H19" s="501">
        <f t="shared" si="1"/>
        <v>0</v>
      </c>
      <c r="I19" s="1013"/>
      <c r="J19" s="1013"/>
      <c r="K19" s="1013"/>
      <c r="L19" s="1013"/>
      <c r="M19" s="1035"/>
      <c r="N19" s="1038"/>
    </row>
    <row r="20" spans="1:14" hidden="1" x14ac:dyDescent="0.3">
      <c r="A20" s="1016" t="s">
        <v>272</v>
      </c>
      <c r="B20" s="1029"/>
      <c r="C20" s="435"/>
      <c r="D20" s="1030"/>
      <c r="E20" s="1029">
        <v>0</v>
      </c>
      <c r="F20" s="436">
        <v>0</v>
      </c>
      <c r="G20" s="436"/>
      <c r="H20" s="501">
        <f t="shared" si="1"/>
        <v>0</v>
      </c>
      <c r="I20" s="1013"/>
      <c r="J20" s="1013"/>
      <c r="K20" s="1013"/>
      <c r="L20" s="1013"/>
      <c r="M20" s="1035"/>
      <c r="N20" s="1038"/>
    </row>
    <row r="21" spans="1:14" hidden="1" x14ac:dyDescent="0.3">
      <c r="A21" s="1016" t="s">
        <v>278</v>
      </c>
      <c r="B21" s="1029"/>
      <c r="C21" s="435"/>
      <c r="D21" s="1030"/>
      <c r="E21" s="1029"/>
      <c r="F21" s="436"/>
      <c r="G21" s="436"/>
      <c r="H21" s="501">
        <f t="shared" si="1"/>
        <v>0</v>
      </c>
      <c r="I21" s="1013"/>
      <c r="J21" s="1013"/>
      <c r="K21" s="1013"/>
      <c r="L21" s="1013"/>
      <c r="M21" s="1035"/>
      <c r="N21" s="1038"/>
    </row>
    <row r="22" spans="1:14" s="385" customFormat="1" x14ac:dyDescent="0.3">
      <c r="A22" s="1015" t="s">
        <v>255</v>
      </c>
      <c r="B22" s="1025">
        <f>SUM(B23:B28)</f>
        <v>59408000</v>
      </c>
      <c r="C22" s="455">
        <f>SUM(C23:C25)</f>
        <v>1269000</v>
      </c>
      <c r="D22" s="1026">
        <f t="shared" ref="D22:D29" si="4">+B22-C22</f>
        <v>58139000</v>
      </c>
      <c r="E22" s="1025">
        <f>SUM(E23:E28)</f>
        <v>58139000</v>
      </c>
      <c r="F22" s="455">
        <f>SUM(F23:F28)</f>
        <v>0</v>
      </c>
      <c r="G22" s="455"/>
      <c r="H22" s="1006">
        <f>SUM(H23:H28)</f>
        <v>58139000</v>
      </c>
      <c r="I22" s="455">
        <f>SUM(I23:I25)</f>
        <v>0</v>
      </c>
      <c r="J22" s="455" t="e">
        <f>SUM(J23:J25)</f>
        <v>#REF!</v>
      </c>
      <c r="K22" s="455" t="e">
        <f>SUM(K23:K25)</f>
        <v>#REF!</v>
      </c>
      <c r="L22" s="455" t="e">
        <f>SUM(L23:L25)</f>
        <v>#REF!</v>
      </c>
      <c r="M22" s="1026" t="e">
        <f>SUM(M23:M25)</f>
        <v>#REF!</v>
      </c>
      <c r="N22" s="1049"/>
    </row>
    <row r="23" spans="1:14" s="598" customFormat="1" x14ac:dyDescent="0.3">
      <c r="A23" s="1053" t="s">
        <v>384</v>
      </c>
      <c r="B23" s="1237">
        <v>42408000</v>
      </c>
      <c r="C23" s="372">
        <f>366000+34770+868230</f>
        <v>1269000</v>
      </c>
      <c r="D23" s="1051">
        <f>+B23-C23</f>
        <v>41139000</v>
      </c>
      <c r="E23" s="1050">
        <f>+D23</f>
        <v>41139000</v>
      </c>
      <c r="F23" s="1052">
        <v>0</v>
      </c>
      <c r="G23" s="1052"/>
      <c r="H23" s="1009">
        <f>SUM(E23:G23)</f>
        <v>41139000</v>
      </c>
      <c r="I23" s="1054">
        <v>0</v>
      </c>
      <c r="J23" s="1012">
        <f>+'5สรุปรายงบ (66 พลางก่อน)'!I33</f>
        <v>0</v>
      </c>
      <c r="K23" s="1012">
        <f>+'5สรุปรายงบ (66 พลางก่อน)'!H33</f>
        <v>0</v>
      </c>
      <c r="L23" s="1012">
        <f t="shared" ref="L23:L28" si="5">SUM(I23:K23)</f>
        <v>0</v>
      </c>
      <c r="M23" s="1034">
        <f>+H23-L23</f>
        <v>41139000</v>
      </c>
      <c r="N23" s="1055"/>
    </row>
    <row r="24" spans="1:14" x14ac:dyDescent="0.3">
      <c r="A24" s="18" t="s">
        <v>385</v>
      </c>
      <c r="B24" s="1050">
        <v>10000000</v>
      </c>
      <c r="C24" s="372">
        <v>0</v>
      </c>
      <c r="D24" s="1051">
        <f t="shared" si="4"/>
        <v>10000000</v>
      </c>
      <c r="E24" s="1050">
        <f>+B24</f>
        <v>10000000</v>
      </c>
      <c r="F24" s="1052">
        <v>0</v>
      </c>
      <c r="G24" s="1052"/>
      <c r="H24" s="1009">
        <f>SUM(E24:G24)</f>
        <v>10000000</v>
      </c>
      <c r="I24" s="1054">
        <v>0</v>
      </c>
      <c r="J24" s="1012" t="e">
        <f>+'5สรุปรายงบ (66 พลางก่อน)'!I36</f>
        <v>#REF!</v>
      </c>
      <c r="K24" s="1012" t="e">
        <f>+'5สรุปรายงบ (66 พลางก่อน)'!H36</f>
        <v>#REF!</v>
      </c>
      <c r="L24" s="1012" t="e">
        <f t="shared" si="5"/>
        <v>#REF!</v>
      </c>
      <c r="M24" s="1034" t="e">
        <f>+H24-L24</f>
        <v>#REF!</v>
      </c>
      <c r="N24" s="1048"/>
    </row>
    <row r="25" spans="1:14" x14ac:dyDescent="0.3">
      <c r="A25" s="18" t="s">
        <v>386</v>
      </c>
      <c r="B25" s="1050">
        <v>7000000</v>
      </c>
      <c r="C25" s="372">
        <v>0</v>
      </c>
      <c r="D25" s="1051">
        <f t="shared" si="4"/>
        <v>7000000</v>
      </c>
      <c r="E25" s="1050">
        <f>+B25</f>
        <v>7000000</v>
      </c>
      <c r="F25" s="1052">
        <v>0</v>
      </c>
      <c r="G25" s="1052"/>
      <c r="H25" s="1009">
        <f>SUM(E25:G25)</f>
        <v>7000000</v>
      </c>
      <c r="I25" s="1054">
        <v>0</v>
      </c>
      <c r="J25" s="1012">
        <f>+'5สรุปรายงบ (66 พลางก่อน)'!I39</f>
        <v>19650</v>
      </c>
      <c r="K25" s="1012">
        <f>+'5สรุปรายงบ (66 พลางก่อน)'!H39</f>
        <v>0</v>
      </c>
      <c r="L25" s="1012">
        <f t="shared" si="5"/>
        <v>19650</v>
      </c>
      <c r="M25" s="1034">
        <f>+H25-L25</f>
        <v>6980350</v>
      </c>
      <c r="N25" s="1048"/>
    </row>
    <row r="26" spans="1:14" hidden="1" x14ac:dyDescent="0.3">
      <c r="A26" s="1018" t="s">
        <v>387</v>
      </c>
      <c r="B26" s="1031"/>
      <c r="C26" s="427"/>
      <c r="D26" s="1032">
        <f t="shared" si="4"/>
        <v>0</v>
      </c>
      <c r="E26" s="1031">
        <v>0</v>
      </c>
      <c r="F26" s="428">
        <v>0</v>
      </c>
      <c r="G26" s="428"/>
      <c r="H26" s="1010">
        <v>0</v>
      </c>
      <c r="I26" s="1014"/>
      <c r="J26" s="1014"/>
      <c r="K26" s="1014"/>
      <c r="L26" s="1014">
        <f t="shared" si="5"/>
        <v>0</v>
      </c>
      <c r="M26" s="1036"/>
      <c r="N26" s="1039"/>
    </row>
    <row r="27" spans="1:14" hidden="1" x14ac:dyDescent="0.3">
      <c r="A27" s="1018" t="s">
        <v>388</v>
      </c>
      <c r="B27" s="1031"/>
      <c r="C27" s="427"/>
      <c r="D27" s="1032">
        <f t="shared" si="4"/>
        <v>0</v>
      </c>
      <c r="E27" s="1031">
        <v>0</v>
      </c>
      <c r="F27" s="428">
        <v>0</v>
      </c>
      <c r="G27" s="428"/>
      <c r="H27" s="1010">
        <v>0</v>
      </c>
      <c r="I27" s="1014"/>
      <c r="J27" s="1014"/>
      <c r="K27" s="1014"/>
      <c r="L27" s="1014">
        <f t="shared" si="5"/>
        <v>0</v>
      </c>
      <c r="M27" s="1036"/>
      <c r="N27" s="1039"/>
    </row>
    <row r="28" spans="1:14" hidden="1" x14ac:dyDescent="0.3">
      <c r="A28" s="1017" t="s">
        <v>389</v>
      </c>
      <c r="B28" s="1031"/>
      <c r="C28" s="427"/>
      <c r="D28" s="1032">
        <f t="shared" si="4"/>
        <v>0</v>
      </c>
      <c r="E28" s="1031">
        <v>0</v>
      </c>
      <c r="F28" s="428"/>
      <c r="G28" s="428"/>
      <c r="H28" s="1010">
        <f>SUM(E28:F28)</f>
        <v>0</v>
      </c>
      <c r="I28" s="1014"/>
      <c r="J28" s="1014"/>
      <c r="K28" s="1014"/>
      <c r="L28" s="1014">
        <f t="shared" si="5"/>
        <v>0</v>
      </c>
      <c r="M28" s="1036"/>
      <c r="N28" s="1039"/>
    </row>
    <row r="29" spans="1:14" s="449" customFormat="1" ht="32.25" customHeight="1" thickBot="1" x14ac:dyDescent="0.55000000000000004">
      <c r="A29" s="1056" t="s">
        <v>28</v>
      </c>
      <c r="B29" s="1057" t="e">
        <f>SUM(B8+B9+B16+B22)</f>
        <v>#REF!</v>
      </c>
      <c r="C29" s="1058" t="e">
        <f>SUM(C8+C9+C16+C22)</f>
        <v>#REF!</v>
      </c>
      <c r="D29" s="1059" t="e">
        <f t="shared" si="4"/>
        <v>#REF!</v>
      </c>
      <c r="E29" s="1057">
        <f>SUM(E8+E9+E16+E22)</f>
        <v>83744750</v>
      </c>
      <c r="F29" s="1058">
        <f>SUM(F8+F9+F16+F22)</f>
        <v>7670950</v>
      </c>
      <c r="G29" s="1060"/>
      <c r="H29" s="1060">
        <f t="shared" ref="H29:M29" si="6">SUM(H8+H9+H16+H22)</f>
        <v>91415700</v>
      </c>
      <c r="I29" s="1060">
        <f t="shared" si="6"/>
        <v>15395257</v>
      </c>
      <c r="J29" s="1060" t="e">
        <f t="shared" si="6"/>
        <v>#REF!</v>
      </c>
      <c r="K29" s="1060" t="e">
        <f t="shared" si="6"/>
        <v>#REF!</v>
      </c>
      <c r="L29" s="1060" t="e">
        <f t="shared" si="6"/>
        <v>#REF!</v>
      </c>
      <c r="M29" s="1059" t="e">
        <f t="shared" si="6"/>
        <v>#REF!</v>
      </c>
      <c r="N29" s="1061"/>
    </row>
    <row r="30" spans="1:14" s="449" customFormat="1" ht="32.25" customHeight="1" x14ac:dyDescent="0.5">
      <c r="A30" s="791"/>
      <c r="B30" s="792"/>
      <c r="C30" s="792"/>
      <c r="D30" s="792"/>
      <c r="E30" s="792"/>
      <c r="F30" s="792"/>
      <c r="G30" s="792"/>
      <c r="H30" s="792"/>
      <c r="I30" s="792"/>
      <c r="J30" s="792"/>
      <c r="K30" s="792"/>
      <c r="L30" s="792"/>
      <c r="M30" s="792"/>
      <c r="N30" s="792"/>
    </row>
    <row r="31" spans="1:14" s="449" customFormat="1" ht="32.25" customHeight="1" x14ac:dyDescent="0.5">
      <c r="A31" s="791"/>
      <c r="B31" s="792"/>
      <c r="C31" s="792"/>
      <c r="D31" s="792"/>
      <c r="E31" s="792"/>
      <c r="F31" s="792"/>
      <c r="G31" s="792"/>
      <c r="H31" s="792"/>
      <c r="I31" s="792"/>
      <c r="J31" s="792"/>
      <c r="K31" s="792"/>
      <c r="L31" s="792"/>
      <c r="M31" s="792"/>
      <c r="N31" s="792"/>
    </row>
  </sheetData>
  <mergeCells count="13">
    <mergeCell ref="A1:N1"/>
    <mergeCell ref="H5:H7"/>
    <mergeCell ref="I5:I6"/>
    <mergeCell ref="I4:L4"/>
    <mergeCell ref="E3:M3"/>
    <mergeCell ref="C4:C5"/>
    <mergeCell ref="B4:B5"/>
    <mergeCell ref="B3:D3"/>
    <mergeCell ref="E5:E6"/>
    <mergeCell ref="F5:F6"/>
    <mergeCell ref="E4:H4"/>
    <mergeCell ref="N3:N7"/>
    <mergeCell ref="A3:A7"/>
  </mergeCells>
  <pageMargins left="0" right="0" top="0.55118110236220474" bottom="0" header="0.31496062992125984" footer="0.31496062992125984"/>
  <pageSetup paperSize="9" scale="90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J26"/>
  <sheetViews>
    <sheetView workbookViewId="0">
      <selection activeCell="O9" sqref="O9"/>
    </sheetView>
  </sheetViews>
  <sheetFormatPr defaultColWidth="9.140625" defaultRowHeight="18.75" x14ac:dyDescent="0.3"/>
  <cols>
    <col min="1" max="1" width="9.140625" style="366"/>
    <col min="2" max="2" width="37.140625" style="366" customWidth="1"/>
    <col min="3" max="3" width="14.42578125" style="592" customWidth="1"/>
    <col min="4" max="6" width="9.140625" style="366"/>
    <col min="7" max="7" width="36.140625" style="366" customWidth="1"/>
    <col min="8" max="8" width="15.42578125" style="592" bestFit="1" customWidth="1"/>
    <col min="9" max="16384" width="9.140625" style="366"/>
  </cols>
  <sheetData>
    <row r="1" spans="1:10" x14ac:dyDescent="0.3">
      <c r="H1" s="592" t="s">
        <v>796</v>
      </c>
    </row>
    <row r="2" spans="1:10" ht="23.25" x14ac:dyDescent="0.35">
      <c r="A2" s="3304" t="s">
        <v>787</v>
      </c>
      <c r="B2" s="3304"/>
      <c r="C2" s="3304"/>
      <c r="D2" s="3304"/>
      <c r="E2" s="3304"/>
      <c r="F2" s="3304"/>
      <c r="G2" s="3304"/>
      <c r="H2" s="3304"/>
      <c r="I2" s="3304"/>
      <c r="J2" s="3304"/>
    </row>
    <row r="3" spans="1:10" x14ac:dyDescent="0.3">
      <c r="A3" s="385" t="s">
        <v>788</v>
      </c>
      <c r="B3" s="385"/>
      <c r="C3" s="593"/>
    </row>
    <row r="4" spans="1:10" x14ac:dyDescent="0.3">
      <c r="B4" s="385" t="s">
        <v>789</v>
      </c>
      <c r="F4" s="385" t="s">
        <v>791</v>
      </c>
    </row>
    <row r="5" spans="1:10" x14ac:dyDescent="0.3">
      <c r="B5" s="366" t="s">
        <v>629</v>
      </c>
      <c r="F5" s="366" t="s">
        <v>629</v>
      </c>
    </row>
    <row r="6" spans="1:10" x14ac:dyDescent="0.3">
      <c r="B6" s="366" t="s">
        <v>792</v>
      </c>
      <c r="F6" s="366" t="s">
        <v>792</v>
      </c>
    </row>
    <row r="7" spans="1:10" x14ac:dyDescent="0.3">
      <c r="B7" s="385" t="s">
        <v>81</v>
      </c>
      <c r="F7" s="385" t="s">
        <v>104</v>
      </c>
    </row>
    <row r="8" spans="1:10" x14ac:dyDescent="0.3">
      <c r="B8" s="366" t="s">
        <v>790</v>
      </c>
      <c r="C8" s="592">
        <v>876000</v>
      </c>
      <c r="D8" s="636"/>
      <c r="F8" s="366" t="s">
        <v>793</v>
      </c>
      <c r="H8" s="592">
        <v>876000</v>
      </c>
      <c r="I8" s="636"/>
    </row>
    <row r="9" spans="1:10" x14ac:dyDescent="0.3">
      <c r="B9" s="366" t="s">
        <v>790</v>
      </c>
      <c r="C9" s="592">
        <v>1554000</v>
      </c>
      <c r="D9" s="636"/>
      <c r="F9" s="366" t="s">
        <v>793</v>
      </c>
      <c r="H9" s="592">
        <v>1554000</v>
      </c>
      <c r="I9" s="636"/>
    </row>
    <row r="10" spans="1:10" x14ac:dyDescent="0.3">
      <c r="B10" s="366" t="s">
        <v>790</v>
      </c>
      <c r="C10" s="592">
        <v>877735</v>
      </c>
      <c r="D10" s="636"/>
      <c r="F10" s="366" t="s">
        <v>793</v>
      </c>
      <c r="H10" s="592">
        <v>877735</v>
      </c>
      <c r="I10" s="636"/>
    </row>
    <row r="11" spans="1:10" ht="19.5" thickBot="1" x14ac:dyDescent="0.35">
      <c r="C11" s="2216">
        <f>SUM(C8:C10)</f>
        <v>3307735</v>
      </c>
      <c r="H11" s="2216">
        <f>SUM(H8:H10)</f>
        <v>3307735</v>
      </c>
    </row>
    <row r="12" spans="1:10" ht="19.5" thickTop="1" x14ac:dyDescent="0.3">
      <c r="A12" s="385" t="s">
        <v>794</v>
      </c>
    </row>
    <row r="13" spans="1:10" x14ac:dyDescent="0.3">
      <c r="B13" s="385" t="s">
        <v>789</v>
      </c>
      <c r="F13" s="385" t="s">
        <v>791</v>
      </c>
    </row>
    <row r="14" spans="1:10" x14ac:dyDescent="0.3">
      <c r="B14" s="366" t="s">
        <v>629</v>
      </c>
      <c r="F14" s="366" t="s">
        <v>629</v>
      </c>
    </row>
    <row r="15" spans="1:10" x14ac:dyDescent="0.3">
      <c r="B15" s="366" t="s">
        <v>792</v>
      </c>
      <c r="F15" s="366" t="s">
        <v>792</v>
      </c>
    </row>
    <row r="16" spans="1:10" x14ac:dyDescent="0.3">
      <c r="B16" s="385" t="s">
        <v>795</v>
      </c>
      <c r="C16" s="592">
        <v>213140</v>
      </c>
      <c r="F16" s="366" t="s">
        <v>81</v>
      </c>
      <c r="H16" s="592">
        <v>106000</v>
      </c>
    </row>
    <row r="17" spans="1:8" x14ac:dyDescent="0.3">
      <c r="F17" s="366" t="s">
        <v>795</v>
      </c>
      <c r="H17" s="2217">
        <v>107140</v>
      </c>
    </row>
    <row r="18" spans="1:8" ht="19.5" thickBot="1" x14ac:dyDescent="0.35">
      <c r="H18" s="2216">
        <v>213140</v>
      </c>
    </row>
    <row r="19" spans="1:8" ht="19.5" thickTop="1" x14ac:dyDescent="0.3"/>
    <row r="20" spans="1:8" x14ac:dyDescent="0.3">
      <c r="A20" s="385" t="s">
        <v>797</v>
      </c>
    </row>
    <row r="21" spans="1:8" x14ac:dyDescent="0.3">
      <c r="B21" s="385" t="s">
        <v>789</v>
      </c>
      <c r="F21" s="385" t="s">
        <v>800</v>
      </c>
    </row>
    <row r="22" spans="1:8" x14ac:dyDescent="0.3">
      <c r="B22" s="366" t="s">
        <v>798</v>
      </c>
      <c r="C22" s="592">
        <v>1854556</v>
      </c>
      <c r="F22" s="366" t="s">
        <v>801</v>
      </c>
      <c r="H22" s="592">
        <v>1854556</v>
      </c>
    </row>
    <row r="23" spans="1:8" ht="37.5" x14ac:dyDescent="0.3">
      <c r="B23" s="2218" t="s">
        <v>799</v>
      </c>
      <c r="C23" s="592">
        <v>85535</v>
      </c>
      <c r="F23" s="366" t="s">
        <v>801</v>
      </c>
      <c r="H23" s="592">
        <v>85535</v>
      </c>
    </row>
    <row r="24" spans="1:8" x14ac:dyDescent="0.3">
      <c r="B24" s="366" t="s">
        <v>802</v>
      </c>
      <c r="C24" s="592">
        <v>1080733</v>
      </c>
      <c r="F24" s="366" t="s">
        <v>801</v>
      </c>
      <c r="H24" s="592">
        <v>1080733</v>
      </c>
    </row>
    <row r="25" spans="1:8" ht="19.5" thickBot="1" x14ac:dyDescent="0.35">
      <c r="C25" s="2216">
        <f>SUM(C22:C24)</f>
        <v>3020824</v>
      </c>
      <c r="H25" s="2216">
        <f>SUM(H22:H24)</f>
        <v>3020824</v>
      </c>
    </row>
    <row r="26" spans="1:8" ht="19.5" thickTop="1" x14ac:dyDescent="0.3"/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2:O30"/>
  <sheetViews>
    <sheetView workbookViewId="0">
      <selection activeCell="G25" sqref="G25"/>
    </sheetView>
  </sheetViews>
  <sheetFormatPr defaultColWidth="12.42578125" defaultRowHeight="25.5" customHeight="1" x14ac:dyDescent="0.35"/>
  <cols>
    <col min="1" max="1" width="20.42578125" style="217" customWidth="1"/>
    <col min="2" max="2" width="15.7109375" style="217" bestFit="1" customWidth="1"/>
    <col min="3" max="3" width="15.42578125" style="217" customWidth="1"/>
    <col min="4" max="4" width="14.5703125" style="217" bestFit="1" customWidth="1"/>
    <col min="5" max="5" width="14.7109375" style="217" bestFit="1" customWidth="1"/>
    <col min="6" max="6" width="14.5703125" style="217" bestFit="1" customWidth="1"/>
    <col min="7" max="7" width="15.7109375" style="217" bestFit="1" customWidth="1"/>
    <col min="8" max="10" width="14.5703125" style="217" bestFit="1" customWidth="1"/>
    <col min="11" max="11" width="15.42578125" style="217" bestFit="1" customWidth="1"/>
    <col min="12" max="12" width="15" style="217" customWidth="1"/>
    <col min="13" max="13" width="15.28515625" style="217" bestFit="1" customWidth="1"/>
    <col min="14" max="16384" width="12.42578125" style="217"/>
  </cols>
  <sheetData>
    <row r="2" spans="1:13" ht="25.5" customHeight="1" thickBot="1" x14ac:dyDescent="0.4">
      <c r="A2" s="1960"/>
      <c r="B2" s="1965" t="s">
        <v>739</v>
      </c>
      <c r="C2" s="1965" t="s">
        <v>740</v>
      </c>
      <c r="D2" s="1965" t="s">
        <v>741</v>
      </c>
      <c r="E2" s="1965" t="s">
        <v>742</v>
      </c>
      <c r="F2" s="1980" t="s">
        <v>748</v>
      </c>
      <c r="G2" s="1984" t="s">
        <v>743</v>
      </c>
      <c r="H2" s="1965" t="s">
        <v>16</v>
      </c>
      <c r="I2" s="1965" t="s">
        <v>744</v>
      </c>
      <c r="J2" s="1980" t="s">
        <v>748</v>
      </c>
      <c r="K2" s="1984" t="s">
        <v>745</v>
      </c>
      <c r="L2" s="1965" t="s">
        <v>16</v>
      </c>
      <c r="M2" s="1967">
        <f>D13+E5+I5+D26</f>
        <v>8052953.9800000004</v>
      </c>
    </row>
    <row r="3" spans="1:13" ht="25.5" customHeight="1" thickBot="1" x14ac:dyDescent="0.4">
      <c r="A3" s="1960" t="s">
        <v>746</v>
      </c>
      <c r="B3" s="1889">
        <v>7684950</v>
      </c>
      <c r="C3" s="1966"/>
      <c r="D3" s="1966"/>
      <c r="E3" s="1966">
        <f>3378995</f>
        <v>3378995</v>
      </c>
      <c r="F3" s="1981"/>
      <c r="G3" s="1985"/>
      <c r="H3" s="1968"/>
      <c r="I3" s="1966">
        <v>3378995</v>
      </c>
      <c r="J3" s="1981">
        <f>H13+I5</f>
        <v>2909037.87</v>
      </c>
      <c r="K3" s="1985"/>
      <c r="L3" s="1968"/>
      <c r="M3" s="1967" t="e">
        <f>G13+G26+K13+K26</f>
        <v>#REF!</v>
      </c>
    </row>
    <row r="4" spans="1:13" ht="25.5" customHeight="1" x14ac:dyDescent="0.35">
      <c r="A4" s="1961" t="s">
        <v>624</v>
      </c>
      <c r="B4" s="1963">
        <v>557700</v>
      </c>
      <c r="C4" s="1963"/>
      <c r="D4" s="1953">
        <v>0</v>
      </c>
      <c r="E4" s="1953">
        <v>463503</v>
      </c>
      <c r="F4" s="1979"/>
      <c r="G4" s="1986"/>
      <c r="H4" s="1953"/>
      <c r="I4" s="1953">
        <v>83723</v>
      </c>
      <c r="J4" s="1979"/>
      <c r="K4" s="1986"/>
      <c r="L4" s="1953"/>
      <c r="M4" s="1967" t="e">
        <f>M2-M3</f>
        <v>#REF!</v>
      </c>
    </row>
    <row r="5" spans="1:13" ht="25.5" customHeight="1" x14ac:dyDescent="0.35">
      <c r="A5" s="1977" t="s">
        <v>747</v>
      </c>
      <c r="B5" s="1978">
        <f>B3-B4</f>
        <v>7127250</v>
      </c>
      <c r="C5" s="1978"/>
      <c r="D5" s="1979">
        <f>SUM(D6:D12,D16:D25)</f>
        <v>1842189.98</v>
      </c>
      <c r="E5" s="1978">
        <f>E3-E4</f>
        <v>2915492</v>
      </c>
      <c r="F5" s="1979">
        <f>SUM(D5:E5)</f>
        <v>4757681.9800000004</v>
      </c>
      <c r="G5" s="1986"/>
      <c r="H5" s="1979" t="e">
        <f>H13+H26</f>
        <v>#REF!</v>
      </c>
      <c r="I5" s="1978">
        <f>I3-I4</f>
        <v>3295272</v>
      </c>
      <c r="J5" s="1979" t="e">
        <f>SUM(H5:I5)</f>
        <v>#REF!</v>
      </c>
      <c r="K5" s="1986"/>
      <c r="L5" s="1979"/>
    </row>
    <row r="6" spans="1:13" ht="25.5" customHeight="1" x14ac:dyDescent="0.35">
      <c r="A6" s="1961" t="s">
        <v>663</v>
      </c>
      <c r="B6" s="1963">
        <v>2234400</v>
      </c>
      <c r="C6" s="1963">
        <v>1854935</v>
      </c>
      <c r="D6" s="1953">
        <f>B6-C6</f>
        <v>379465</v>
      </c>
      <c r="E6" s="1953">
        <f>B6/2</f>
        <v>1117200</v>
      </c>
      <c r="F6" s="1979">
        <f>D6+E6</f>
        <v>1496665</v>
      </c>
      <c r="G6" s="1986">
        <f>จัดสรรงบประมาณ!Y6+จัดสรรงบประมาณ!AD6+จัดสรรงบประมาณ!AF6+จัดสรรงบประมาณ!AH6</f>
        <v>1489600</v>
      </c>
      <c r="H6" s="1953">
        <f>F6-G6</f>
        <v>7065</v>
      </c>
      <c r="I6" s="1953">
        <v>1117200</v>
      </c>
      <c r="J6" s="1979">
        <f>H6+I6</f>
        <v>1124265</v>
      </c>
      <c r="K6" s="1986">
        <f>จัดสรรงบประมาณ!AM6+จัดสรรงบประมาณ!AO6+จัดสรรงบประมาณ!AQ6</f>
        <v>1117200</v>
      </c>
      <c r="L6" s="1953">
        <f>J6-K6</f>
        <v>7065</v>
      </c>
    </row>
    <row r="7" spans="1:13" ht="25.5" customHeight="1" x14ac:dyDescent="0.35">
      <c r="A7" s="1961" t="s">
        <v>664</v>
      </c>
      <c r="B7" s="1976">
        <v>525626</v>
      </c>
      <c r="C7" s="1963">
        <v>328523.06</v>
      </c>
      <c r="D7" s="1953">
        <f t="shared" ref="D7:D12" si="0">B7-C7</f>
        <v>197102.94</v>
      </c>
      <c r="E7" s="1989">
        <f>B7/2-50000</f>
        <v>212813</v>
      </c>
      <c r="F7" s="1979">
        <f t="shared" ref="F7:F12" si="1">D7+E7</f>
        <v>409915.94</v>
      </c>
      <c r="G7" s="1986">
        <f>จัดสรรงบประมาณ!Y7+จัดสรรงบประมาณ!AD7+จัดสรรงบประมาณ!AF7+จัดสรรงบประมาณ!AH7</f>
        <v>403668</v>
      </c>
      <c r="H7" s="1953">
        <f t="shared" ref="H7:H12" si="2">F7-G7</f>
        <v>6247.9400000000023</v>
      </c>
      <c r="I7" s="1953">
        <v>303000</v>
      </c>
      <c r="J7" s="1979">
        <f t="shared" ref="J7:J12" si="3">H7+I7</f>
        <v>309247.94</v>
      </c>
      <c r="K7" s="1986">
        <f>จัดสรรงบประมาณ!AM7+จัดสรรงบประมาณ!AO7+จัดสรรงบประมาณ!AQ7</f>
        <v>302751</v>
      </c>
      <c r="L7" s="1953">
        <f t="shared" ref="L7:L12" si="4">J7-K7</f>
        <v>6496.9400000000023</v>
      </c>
    </row>
    <row r="8" spans="1:13" ht="25.5" customHeight="1" x14ac:dyDescent="0.35">
      <c r="A8" s="1961" t="s">
        <v>625</v>
      </c>
      <c r="B8" s="1976">
        <f>2547527</f>
        <v>2547527</v>
      </c>
      <c r="C8" s="1963">
        <f>จัดสรรงบประมาณ!M8+จัดสรรงบประมาณ!O8+จัดสรรงบประมาณ!Q8+จัดสรรงบประมาณ!V8+จัดสรรงบประมาณ!X8</f>
        <v>2160070.17</v>
      </c>
      <c r="D8" s="1953">
        <f t="shared" si="0"/>
        <v>387456.83000000007</v>
      </c>
      <c r="E8" s="1989">
        <f>(B8/2)-300000</f>
        <v>973763.5</v>
      </c>
      <c r="F8" s="1979">
        <f t="shared" si="1"/>
        <v>1361220.33</v>
      </c>
      <c r="G8" s="1986">
        <f>จัดสรรงบประมาณ!Y8+จัดสรรงบประมาณ!AD8+จัดสรรงบประมาณ!AF8+จัดสรรงบประมาณ!AH8</f>
        <v>1754900</v>
      </c>
      <c r="H8" s="1953">
        <f t="shared" si="2"/>
        <v>-393679.66999999993</v>
      </c>
      <c r="I8" s="1953">
        <v>1320000</v>
      </c>
      <c r="J8" s="1979">
        <f t="shared" si="3"/>
        <v>926320.33000000007</v>
      </c>
      <c r="K8" s="1986">
        <f>จัดสรรงบประมาณ!AM8+จัดสรรงบประมาณ!AO8+จัดสรรงบประมาณ!AQ8</f>
        <v>1316175</v>
      </c>
      <c r="L8" s="1953">
        <f t="shared" si="4"/>
        <v>-389854.66999999993</v>
      </c>
    </row>
    <row r="9" spans="1:13" ht="25.5" customHeight="1" x14ac:dyDescent="0.35">
      <c r="A9" s="1961" t="s">
        <v>690</v>
      </c>
      <c r="B9" s="1963">
        <v>25000</v>
      </c>
      <c r="C9" s="1963">
        <v>69413.7</v>
      </c>
      <c r="D9" s="1975">
        <f t="shared" si="0"/>
        <v>-44413.7</v>
      </c>
      <c r="E9" s="1953">
        <v>50000</v>
      </c>
      <c r="F9" s="1979">
        <f t="shared" si="1"/>
        <v>5586.3000000000029</v>
      </c>
      <c r="G9" s="1986">
        <v>50000</v>
      </c>
      <c r="H9" s="1953">
        <f t="shared" si="2"/>
        <v>-44413.7</v>
      </c>
      <c r="I9" s="1953">
        <v>25000</v>
      </c>
      <c r="J9" s="1979">
        <f t="shared" si="3"/>
        <v>-19413.699999999997</v>
      </c>
      <c r="K9" s="1986">
        <v>25000</v>
      </c>
      <c r="L9" s="1953">
        <f t="shared" si="4"/>
        <v>-44413.7</v>
      </c>
    </row>
    <row r="10" spans="1:13" ht="25.5" customHeight="1" x14ac:dyDescent="0.35">
      <c r="A10" s="1961" t="s">
        <v>626</v>
      </c>
      <c r="B10" s="1963">
        <v>25000</v>
      </c>
      <c r="C10" s="1963">
        <v>32003.7</v>
      </c>
      <c r="D10" s="1953">
        <f t="shared" si="0"/>
        <v>-7003.7000000000007</v>
      </c>
      <c r="E10" s="1953">
        <v>50000</v>
      </c>
      <c r="F10" s="1979">
        <f t="shared" si="1"/>
        <v>42996.3</v>
      </c>
      <c r="G10" s="1986">
        <f>จัดสรรงบประมาณ!Y10+จัดสรรงบประมาณ!AD10+จัดสรรงบประมาณ!AF10+จัดสรรงบประมาณ!AH10</f>
        <v>50000</v>
      </c>
      <c r="H10" s="1953">
        <f t="shared" si="2"/>
        <v>-7003.6999999999971</v>
      </c>
      <c r="I10" s="1953">
        <v>25000</v>
      </c>
      <c r="J10" s="1979">
        <f t="shared" si="3"/>
        <v>17996.300000000003</v>
      </c>
      <c r="K10" s="1986">
        <f>จัดสรรงบประมาณ!AM10+จัดสรรงบประมาณ!AO10+จัดสรรงบประมาณ!AQ10</f>
        <v>25000</v>
      </c>
      <c r="L10" s="1953">
        <f t="shared" si="4"/>
        <v>-7003.6999999999971</v>
      </c>
    </row>
    <row r="11" spans="1:13" ht="25.5" customHeight="1" x14ac:dyDescent="0.35">
      <c r="A11" s="1961" t="s">
        <v>648</v>
      </c>
      <c r="B11" s="1976">
        <f>100000-33000</f>
        <v>67000</v>
      </c>
      <c r="C11" s="1963">
        <v>21200</v>
      </c>
      <c r="D11" s="1953">
        <f t="shared" si="0"/>
        <v>45800</v>
      </c>
      <c r="E11" s="1989">
        <f>B11/2</f>
        <v>33500</v>
      </c>
      <c r="F11" s="1979">
        <f t="shared" si="1"/>
        <v>79300</v>
      </c>
      <c r="G11" s="1986">
        <f>จัดสรรงบประมาณ!Y11+จัดสรรงบประมาณ!AD11+จัดสรรงบประมาณ!AF11+จัดสรรงบประมาณ!AH11</f>
        <v>65000</v>
      </c>
      <c r="H11" s="1953">
        <f t="shared" si="2"/>
        <v>14300</v>
      </c>
      <c r="I11" s="1989">
        <f>G11-40000+15700</f>
        <v>40700</v>
      </c>
      <c r="J11" s="1979">
        <f t="shared" si="3"/>
        <v>55000</v>
      </c>
      <c r="K11" s="1986">
        <f>จัดสรรงบประมาณ!AM11+จัดสรรงบประมาณ!AO11+จัดสรรงบประมาณ!AQ11</f>
        <v>55000</v>
      </c>
      <c r="L11" s="1953">
        <f>J11-K11</f>
        <v>0</v>
      </c>
    </row>
    <row r="12" spans="1:13" ht="25.5" customHeight="1" x14ac:dyDescent="0.35">
      <c r="A12" s="1961" t="s">
        <v>649</v>
      </c>
      <c r="B12" s="1963">
        <v>37500</v>
      </c>
      <c r="C12" s="1963">
        <v>0</v>
      </c>
      <c r="D12" s="1953">
        <f t="shared" si="0"/>
        <v>37500</v>
      </c>
      <c r="E12" s="1953">
        <f>B12/2</f>
        <v>18750</v>
      </c>
      <c r="F12" s="1979">
        <f t="shared" si="1"/>
        <v>56250</v>
      </c>
      <c r="G12" s="1986">
        <f>จัดสรรงบประมาณ!Y12+จัดสรรงบประมาณ!AD12+จัดสรรงบประมาณ!AF12+จัดสรรงบประมาณ!AH12</f>
        <v>25000</v>
      </c>
      <c r="H12" s="1953">
        <f t="shared" si="2"/>
        <v>31250</v>
      </c>
      <c r="I12" s="1953">
        <f>G12</f>
        <v>25000</v>
      </c>
      <c r="J12" s="1979">
        <f t="shared" si="3"/>
        <v>56250</v>
      </c>
      <c r="K12" s="1986">
        <f>จัดสรรงบประมาณ!AM12+จัดสรรงบประมาณ!AO12+จัดสรรงบประมาณ!AQ12</f>
        <v>18750</v>
      </c>
      <c r="L12" s="1953">
        <f t="shared" si="4"/>
        <v>37500</v>
      </c>
    </row>
    <row r="13" spans="1:13" ht="25.5" customHeight="1" thickBot="1" x14ac:dyDescent="0.4">
      <c r="A13" s="1962"/>
      <c r="B13" s="1974">
        <f>SUM(B6:B12)</f>
        <v>5462053</v>
      </c>
      <c r="C13" s="1974">
        <f t="shared" ref="C13:L13" si="5">SUM(C6:C12)</f>
        <v>4466145.6300000008</v>
      </c>
      <c r="D13" s="1974">
        <f t="shared" si="5"/>
        <v>995907.37000000011</v>
      </c>
      <c r="E13" s="1974">
        <f t="shared" si="5"/>
        <v>2456026.5</v>
      </c>
      <c r="F13" s="1974">
        <f t="shared" si="5"/>
        <v>3451933.8699999996</v>
      </c>
      <c r="G13" s="1974">
        <f t="shared" si="5"/>
        <v>3838168</v>
      </c>
      <c r="H13" s="1974">
        <f t="shared" si="5"/>
        <v>-386234.12999999995</v>
      </c>
      <c r="I13" s="1974">
        <f t="shared" si="5"/>
        <v>2855900</v>
      </c>
      <c r="J13" s="1974">
        <f t="shared" si="5"/>
        <v>2469665.8699999996</v>
      </c>
      <c r="K13" s="1974">
        <f t="shared" si="5"/>
        <v>2859876</v>
      </c>
      <c r="L13" s="1974">
        <f t="shared" si="5"/>
        <v>-390210.12999999995</v>
      </c>
    </row>
    <row r="14" spans="1:13" ht="30.75" customHeight="1" x14ac:dyDescent="0.35">
      <c r="F14" s="1982"/>
      <c r="G14" s="1987"/>
      <c r="J14" s="1982"/>
      <c r="K14" s="1987"/>
    </row>
    <row r="15" spans="1:13" ht="39.75" customHeight="1" x14ac:dyDescent="0.35">
      <c r="A15" s="1954" t="s">
        <v>145</v>
      </c>
      <c r="B15" s="1954" t="s">
        <v>739</v>
      </c>
      <c r="C15" s="1954" t="s">
        <v>740</v>
      </c>
      <c r="D15" s="1954" t="s">
        <v>741</v>
      </c>
      <c r="E15" s="1954" t="s">
        <v>742</v>
      </c>
      <c r="F15" s="1983" t="s">
        <v>748</v>
      </c>
      <c r="G15" s="1985" t="s">
        <v>743</v>
      </c>
      <c r="H15" s="1954" t="s">
        <v>16</v>
      </c>
      <c r="I15" s="1954" t="s">
        <v>744</v>
      </c>
      <c r="J15" s="1983" t="s">
        <v>748</v>
      </c>
      <c r="K15" s="1985" t="s">
        <v>745</v>
      </c>
      <c r="L15" s="1954" t="s">
        <v>16</v>
      </c>
    </row>
    <row r="16" spans="1:13" ht="25.5" customHeight="1" x14ac:dyDescent="0.35">
      <c r="A16" s="1956" t="s">
        <v>6</v>
      </c>
      <c r="B16" s="1957">
        <v>192000</v>
      </c>
      <c r="C16" s="1953">
        <v>120794.32</v>
      </c>
      <c r="D16" s="1953">
        <f>B16-C16</f>
        <v>71205.679999999993</v>
      </c>
      <c r="E16" s="1953">
        <v>110223</v>
      </c>
      <c r="F16" s="1979">
        <f>D16+E16</f>
        <v>181428.68</v>
      </c>
      <c r="G16" s="1986" t="e">
        <f>#REF!+#REF!+#REF!+#REF!</f>
        <v>#REF!</v>
      </c>
      <c r="H16" s="1953" t="e">
        <f>F16-G16</f>
        <v>#REF!</v>
      </c>
      <c r="I16" s="1953" t="e">
        <f>K16</f>
        <v>#REF!</v>
      </c>
      <c r="J16" s="1979" t="e">
        <f>H16+I16</f>
        <v>#REF!</v>
      </c>
      <c r="K16" s="1986" t="e">
        <f>#REF!+#REF!+#REF!-19089.39</f>
        <v>#REF!</v>
      </c>
      <c r="L16" s="1953" t="e">
        <f>J16-K16</f>
        <v>#REF!</v>
      </c>
    </row>
    <row r="17" spans="1:15" ht="25.5" customHeight="1" x14ac:dyDescent="0.35">
      <c r="A17" s="1958" t="s">
        <v>2</v>
      </c>
      <c r="B17" s="1957">
        <v>3000</v>
      </c>
      <c r="C17" s="1953">
        <v>24880</v>
      </c>
      <c r="D17" s="1953">
        <f t="shared" ref="D17:D25" si="6">B17-C17</f>
        <v>-21880</v>
      </c>
      <c r="E17" s="1953">
        <f>G17</f>
        <v>88000</v>
      </c>
      <c r="F17" s="1979">
        <f>D17+E17</f>
        <v>66120</v>
      </c>
      <c r="G17" s="1986">
        <f>[4]สพร.!$G$157+[4]สพร.!$H$157+[4]สพร.!$I$157+[4]สพร.!$J$157</f>
        <v>88000</v>
      </c>
      <c r="H17" s="1953">
        <f>F17-G17</f>
        <v>-21880</v>
      </c>
      <c r="I17" s="1953">
        <f t="shared" ref="I17:I25" si="7">K17</f>
        <v>0</v>
      </c>
      <c r="J17" s="1979">
        <f>H17+I17</f>
        <v>-21880</v>
      </c>
      <c r="K17" s="1986">
        <f>[4]สพร.!$K$157+[4]สพร.!$L$157+[4]สพร.!$M$157</f>
        <v>0</v>
      </c>
      <c r="L17" s="1991">
        <f>J17-K17</f>
        <v>-21880</v>
      </c>
    </row>
    <row r="18" spans="1:15" ht="25.5" customHeight="1" x14ac:dyDescent="0.35">
      <c r="A18" s="1958" t="s">
        <v>1</v>
      </c>
      <c r="B18" s="1957">
        <v>4200</v>
      </c>
      <c r="C18" s="1953">
        <v>4155</v>
      </c>
      <c r="D18" s="1953">
        <f t="shared" si="6"/>
        <v>45</v>
      </c>
      <c r="E18" s="1953">
        <f t="shared" ref="E18:E25" si="8">G18</f>
        <v>93310</v>
      </c>
      <c r="F18" s="1979">
        <f t="shared" ref="F18:F25" si="9">D18+E18</f>
        <v>93355</v>
      </c>
      <c r="G18" s="1986">
        <f>[5]สพส.!$G$157+[5]สพส.!$H$157+[5]สพส.!$I$157+[5]สพส.!$J$157</f>
        <v>93310</v>
      </c>
      <c r="H18" s="1953">
        <f t="shared" ref="H18:H25" si="10">F18-G18</f>
        <v>45</v>
      </c>
      <c r="I18" s="1953">
        <f t="shared" si="7"/>
        <v>127200</v>
      </c>
      <c r="J18" s="1979">
        <f t="shared" ref="J18:J25" si="11">H18+I18</f>
        <v>127245</v>
      </c>
      <c r="K18" s="1986">
        <f>[5]สพส.!$K$157+[5]สพส.!$L$157+[5]สพส.!$M$157</f>
        <v>127200</v>
      </c>
      <c r="L18" s="1991">
        <f t="shared" ref="L18:L25" si="12">J18-K18</f>
        <v>45</v>
      </c>
    </row>
    <row r="19" spans="1:15" ht="25.5" customHeight="1" x14ac:dyDescent="0.35">
      <c r="A19" s="1958" t="s">
        <v>3</v>
      </c>
      <c r="B19" s="1957">
        <v>28000</v>
      </c>
      <c r="C19" s="1953">
        <v>7584.8</v>
      </c>
      <c r="D19" s="1953">
        <f t="shared" si="6"/>
        <v>20415.2</v>
      </c>
      <c r="E19" s="1953">
        <f t="shared" si="8"/>
        <v>21875</v>
      </c>
      <c r="F19" s="1979">
        <f t="shared" si="9"/>
        <v>42290.2</v>
      </c>
      <c r="G19" s="1986">
        <f>[6]สสป!$G$157+[6]สสป!$H$157+[6]สสป!$I$157+[6]สสป!$J$157</f>
        <v>21875</v>
      </c>
      <c r="H19" s="1953">
        <f t="shared" si="10"/>
        <v>20415.199999999997</v>
      </c>
      <c r="I19" s="1953">
        <f t="shared" si="7"/>
        <v>21875</v>
      </c>
      <c r="J19" s="1979">
        <f t="shared" si="11"/>
        <v>42290.2</v>
      </c>
      <c r="K19" s="1986">
        <f>[6]สสป!$K$157+[6]สสป!$L$157+[6]สสป!$M$157</f>
        <v>21875</v>
      </c>
      <c r="L19" s="1991">
        <f t="shared" si="12"/>
        <v>20415.199999999997</v>
      </c>
    </row>
    <row r="20" spans="1:15" ht="25.5" customHeight="1" x14ac:dyDescent="0.35">
      <c r="A20" s="1958" t="s">
        <v>24</v>
      </c>
      <c r="B20" s="1957">
        <v>359500</v>
      </c>
      <c r="C20" s="1953">
        <v>29020</v>
      </c>
      <c r="D20" s="1953">
        <f t="shared" si="6"/>
        <v>330480</v>
      </c>
      <c r="E20" s="1953">
        <f t="shared" si="8"/>
        <v>321000</v>
      </c>
      <c r="F20" s="1979">
        <f t="shared" si="9"/>
        <v>651480</v>
      </c>
      <c r="G20" s="1986">
        <f>[7]สภท!$G$32+[7]สภท!$H$32+[7]สภท!$I$32+[7]สภท!$J$32-60000</f>
        <v>321000</v>
      </c>
      <c r="H20" s="1953">
        <f t="shared" si="10"/>
        <v>330480</v>
      </c>
      <c r="I20" s="1953" t="e">
        <f t="shared" si="7"/>
        <v>#REF!</v>
      </c>
      <c r="J20" s="1979" t="e">
        <f t="shared" si="11"/>
        <v>#REF!</v>
      </c>
      <c r="K20" s="1986" t="e">
        <f>#REF!+#REF!+#REF!+60000</f>
        <v>#REF!</v>
      </c>
      <c r="L20" s="1953" t="e">
        <f t="shared" si="12"/>
        <v>#REF!</v>
      </c>
    </row>
    <row r="21" spans="1:15" ht="25.5" customHeight="1" x14ac:dyDescent="0.35">
      <c r="A21" s="1958" t="s">
        <v>23</v>
      </c>
      <c r="B21" s="1957">
        <v>336325</v>
      </c>
      <c r="C21" s="1953">
        <v>235285.5</v>
      </c>
      <c r="D21" s="1953">
        <f t="shared" si="6"/>
        <v>101039.5</v>
      </c>
      <c r="E21" s="1953" t="e">
        <f t="shared" si="8"/>
        <v>#REF!</v>
      </c>
      <c r="F21" s="1979" t="e">
        <f t="shared" si="9"/>
        <v>#REF!</v>
      </c>
      <c r="G21" s="1986" t="e">
        <f>#REF!+#REF!+#REF!+#REF!-45000</f>
        <v>#REF!</v>
      </c>
      <c r="H21" s="1953" t="e">
        <f t="shared" si="10"/>
        <v>#REF!</v>
      </c>
      <c r="I21" s="1953" t="e">
        <f t="shared" si="7"/>
        <v>#REF!</v>
      </c>
      <c r="J21" s="1979" t="e">
        <f t="shared" si="11"/>
        <v>#REF!</v>
      </c>
      <c r="K21" s="1986" t="e">
        <f>#REF!+#REF!+#REF!+45000</f>
        <v>#REF!</v>
      </c>
      <c r="L21" s="1953" t="e">
        <f>J21-K21</f>
        <v>#REF!</v>
      </c>
      <c r="N21" s="217">
        <f>[8]สทส!$G$5+[8]สทส!$H$5+[8]สทส!$I$5+[8]สทส!$J$5-45000</f>
        <v>189675</v>
      </c>
      <c r="O21" s="217">
        <f>[8]สทส!$K$5+[8]สทส!$L$5+[8]สทส!$M$5+45000</f>
        <v>140000</v>
      </c>
    </row>
    <row r="22" spans="1:15" ht="25.5" customHeight="1" x14ac:dyDescent="0.35">
      <c r="A22" s="1958" t="s">
        <v>4</v>
      </c>
      <c r="B22" s="1957">
        <v>44000</v>
      </c>
      <c r="C22" s="1953">
        <v>27155</v>
      </c>
      <c r="D22" s="1953">
        <f t="shared" si="6"/>
        <v>16845</v>
      </c>
      <c r="E22" s="1953" t="e">
        <f t="shared" si="8"/>
        <v>#REF!</v>
      </c>
      <c r="F22" s="1979" t="e">
        <f t="shared" si="9"/>
        <v>#REF!</v>
      </c>
      <c r="G22" s="1986" t="e">
        <f>#REF!+#REF!+#REF!+#REF!</f>
        <v>#REF!</v>
      </c>
      <c r="H22" s="1953" t="e">
        <f t="shared" si="10"/>
        <v>#REF!</v>
      </c>
      <c r="I22" s="1953" t="e">
        <f t="shared" si="7"/>
        <v>#REF!</v>
      </c>
      <c r="J22" s="1979" t="e">
        <f t="shared" si="11"/>
        <v>#REF!</v>
      </c>
      <c r="K22" s="1986" t="e">
        <f>#REF!+#REF!+#REF!</f>
        <v>#REF!</v>
      </c>
      <c r="L22" s="1953" t="e">
        <f t="shared" si="12"/>
        <v>#REF!</v>
      </c>
    </row>
    <row r="23" spans="1:15" ht="25.5" customHeight="1" x14ac:dyDescent="0.35">
      <c r="A23" s="1958" t="s">
        <v>20</v>
      </c>
      <c r="B23" s="1957">
        <v>240400</v>
      </c>
      <c r="C23" s="1953">
        <v>167793.2</v>
      </c>
      <c r="D23" s="1953">
        <f t="shared" si="6"/>
        <v>72606.799999999988</v>
      </c>
      <c r="E23" s="1953" t="e">
        <f t="shared" si="8"/>
        <v>#REF!</v>
      </c>
      <c r="F23" s="1979" t="e">
        <f t="shared" si="9"/>
        <v>#REF!</v>
      </c>
      <c r="G23" s="1986" t="e">
        <f>#REF!+#REF!+#REF!+#REF!</f>
        <v>#REF!</v>
      </c>
      <c r="H23" s="1953" t="e">
        <f t="shared" si="10"/>
        <v>#REF!</v>
      </c>
      <c r="I23" s="1953" t="e">
        <f t="shared" si="7"/>
        <v>#REF!</v>
      </c>
      <c r="J23" s="1979" t="e">
        <f t="shared" si="11"/>
        <v>#REF!</v>
      </c>
      <c r="K23" s="1986" t="e">
        <f>#REF!+#REF!+#REF!</f>
        <v>#REF!</v>
      </c>
      <c r="L23" s="1953" t="e">
        <f t="shared" si="12"/>
        <v>#REF!</v>
      </c>
    </row>
    <row r="24" spans="1:15" ht="25.5" customHeight="1" x14ac:dyDescent="0.35">
      <c r="A24" s="1959" t="s">
        <v>5</v>
      </c>
      <c r="B24" s="1957">
        <v>101205</v>
      </c>
      <c r="C24" s="1953">
        <v>48046.5</v>
      </c>
      <c r="D24" s="1953">
        <f t="shared" si="6"/>
        <v>53158.5</v>
      </c>
      <c r="E24" s="1953" t="e">
        <f t="shared" si="8"/>
        <v>#REF!</v>
      </c>
      <c r="F24" s="1979" t="e">
        <f t="shared" si="9"/>
        <v>#REF!</v>
      </c>
      <c r="G24" s="1986" t="e">
        <f>#REF!+#REF!+#REF!+#REF!</f>
        <v>#REF!</v>
      </c>
      <c r="H24" s="1953" t="e">
        <f t="shared" si="10"/>
        <v>#REF!</v>
      </c>
      <c r="I24" s="1953" t="e">
        <f t="shared" si="7"/>
        <v>#REF!</v>
      </c>
      <c r="J24" s="1979" t="e">
        <f t="shared" si="11"/>
        <v>#REF!</v>
      </c>
      <c r="K24" s="1986" t="e">
        <f>#REF!+#REF!+#REF!</f>
        <v>#REF!</v>
      </c>
      <c r="L24" s="1953" t="e">
        <f t="shared" si="12"/>
        <v>#REF!</v>
      </c>
    </row>
    <row r="25" spans="1:15" ht="25.5" customHeight="1" thickBot="1" x14ac:dyDescent="0.4">
      <c r="A25" s="1958" t="s">
        <v>21</v>
      </c>
      <c r="B25" s="1971">
        <v>208500</v>
      </c>
      <c r="C25" s="1972">
        <v>6133.07</v>
      </c>
      <c r="D25" s="1953">
        <f t="shared" si="6"/>
        <v>202366.93</v>
      </c>
      <c r="E25" s="1953" t="e">
        <f t="shared" si="8"/>
        <v>#REF!</v>
      </c>
      <c r="F25" s="1979" t="e">
        <f t="shared" si="9"/>
        <v>#REF!</v>
      </c>
      <c r="G25" s="1988" t="e">
        <f>#REF!+#REF!+#REF!+#REF!</f>
        <v>#REF!</v>
      </c>
      <c r="H25" s="1953" t="e">
        <f t="shared" si="10"/>
        <v>#REF!</v>
      </c>
      <c r="I25" s="1953" t="e">
        <f t="shared" si="7"/>
        <v>#REF!</v>
      </c>
      <c r="J25" s="1979" t="e">
        <f t="shared" si="11"/>
        <v>#REF!</v>
      </c>
      <c r="K25" s="1988" t="e">
        <f>#REF!+#REF!+#REF!</f>
        <v>#REF!</v>
      </c>
      <c r="L25" s="1953" t="e">
        <f t="shared" si="12"/>
        <v>#REF!</v>
      </c>
    </row>
    <row r="26" spans="1:15" ht="25.5" customHeight="1" thickBot="1" x14ac:dyDescent="0.4">
      <c r="A26" s="1955"/>
      <c r="B26" s="1973">
        <f>SUM(B16:B25)</f>
        <v>1517130</v>
      </c>
      <c r="C26" s="1973">
        <f t="shared" ref="C26:L26" si="13">SUM(C16:C25)</f>
        <v>670847.39</v>
      </c>
      <c r="D26" s="1973">
        <f>D16+D17+D18+D19+D20+D21+D22+D23+D24+D25</f>
        <v>846282.60999999987</v>
      </c>
      <c r="E26" s="1973" t="e">
        <f t="shared" si="13"/>
        <v>#REF!</v>
      </c>
      <c r="F26" s="1973" t="e">
        <f t="shared" si="13"/>
        <v>#REF!</v>
      </c>
      <c r="G26" s="1973" t="e">
        <f t="shared" si="13"/>
        <v>#REF!</v>
      </c>
      <c r="H26" s="1973" t="e">
        <f t="shared" si="13"/>
        <v>#REF!</v>
      </c>
      <c r="I26" s="1973" t="e">
        <f t="shared" si="13"/>
        <v>#REF!</v>
      </c>
      <c r="J26" s="1973" t="e">
        <f t="shared" si="13"/>
        <v>#REF!</v>
      </c>
      <c r="K26" s="1973" t="e">
        <f t="shared" si="13"/>
        <v>#REF!</v>
      </c>
      <c r="L26" s="1973" t="e">
        <f t="shared" si="13"/>
        <v>#REF!</v>
      </c>
    </row>
    <row r="27" spans="1:15" ht="25.5" customHeight="1" thickTop="1" thickBot="1" x14ac:dyDescent="0.4">
      <c r="B27" s="1970">
        <f>B13+B26</f>
        <v>6979183</v>
      </c>
      <c r="C27" s="1970">
        <f t="shared" ref="C27:L27" si="14">C13+C26</f>
        <v>5136993.0200000005</v>
      </c>
      <c r="D27" s="1970">
        <f t="shared" si="14"/>
        <v>1842189.98</v>
      </c>
      <c r="E27" s="1970"/>
      <c r="F27" s="1970" t="e">
        <f t="shared" si="14"/>
        <v>#REF!</v>
      </c>
      <c r="G27" s="1970" t="e">
        <f t="shared" si="14"/>
        <v>#REF!</v>
      </c>
      <c r="H27" s="1970" t="e">
        <f t="shared" si="14"/>
        <v>#REF!</v>
      </c>
      <c r="I27" s="1970"/>
      <c r="J27" s="1970" t="e">
        <f t="shared" si="14"/>
        <v>#REF!</v>
      </c>
      <c r="K27" s="1970" t="e">
        <f t="shared" si="14"/>
        <v>#REF!</v>
      </c>
      <c r="L27" s="1970" t="e">
        <f t="shared" si="14"/>
        <v>#REF!</v>
      </c>
    </row>
    <row r="28" spans="1:15" ht="25.5" customHeight="1" x14ac:dyDescent="0.35">
      <c r="B28" s="1967"/>
      <c r="C28" s="1967"/>
      <c r="D28" s="1990"/>
      <c r="E28" s="1967"/>
      <c r="F28" s="1967"/>
      <c r="G28" s="1967" t="e">
        <f>F5-G13-G26</f>
        <v>#REF!</v>
      </c>
      <c r="I28" s="1967"/>
      <c r="K28" s="1967" t="e">
        <f>J5-K13-K26</f>
        <v>#REF!</v>
      </c>
    </row>
    <row r="29" spans="1:15" ht="25.5" customHeight="1" x14ac:dyDescent="0.35">
      <c r="E29" s="1967"/>
    </row>
    <row r="30" spans="1:15" ht="25.5" customHeight="1" x14ac:dyDescent="0.35">
      <c r="A30" s="1964">
        <v>15369900</v>
      </c>
      <c r="B30" s="1969">
        <f>B27+E27+I27</f>
        <v>6979183</v>
      </c>
      <c r="C30" s="1967">
        <f>A30-B30</f>
        <v>8390717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BS85"/>
  <sheetViews>
    <sheetView view="pageBreakPreview" zoomScaleNormal="100" zoomScaleSheetLayoutView="100" workbookViewId="0">
      <pane xSplit="5" ySplit="3" topLeftCell="F9" activePane="bottomRight" state="frozen"/>
      <selection pane="topRight" activeCell="F1" sqref="F1"/>
      <selection pane="bottomLeft" activeCell="A4" sqref="A4"/>
      <selection pane="bottomRight" activeCell="Z52" sqref="Z52"/>
    </sheetView>
  </sheetViews>
  <sheetFormatPr defaultColWidth="9" defaultRowHeight="26.25" customHeight="1" x14ac:dyDescent="0.3"/>
  <cols>
    <col min="1" max="1" width="2.28515625" style="1062" customWidth="1"/>
    <col min="2" max="2" width="2.42578125" style="1062" customWidth="1"/>
    <col min="3" max="3" width="3" style="1062" customWidth="1"/>
    <col min="4" max="4" width="35" style="1062" customWidth="1"/>
    <col min="5" max="5" width="13.140625" style="416" customWidth="1"/>
    <col min="6" max="6" width="12.85546875" style="416" customWidth="1"/>
    <col min="7" max="7" width="13.85546875" style="416" customWidth="1"/>
    <col min="8" max="11" width="13" style="1875" customWidth="1"/>
    <col min="12" max="12" width="12.140625" style="416" customWidth="1"/>
    <col min="13" max="13" width="11.42578125" style="1655" customWidth="1"/>
    <col min="14" max="14" width="11.85546875" style="416" customWidth="1"/>
    <col min="15" max="15" width="11.42578125" style="1655" customWidth="1"/>
    <col min="16" max="16" width="11.85546875" style="416" customWidth="1"/>
    <col min="17" max="17" width="11.42578125" style="1655" customWidth="1"/>
    <col min="18" max="19" width="11.5703125" style="416" customWidth="1"/>
    <col min="20" max="20" width="11.85546875" style="416" customWidth="1"/>
    <col min="21" max="21" width="12.140625" style="416" customWidth="1"/>
    <col min="22" max="23" width="11.5703125" style="416" customWidth="1"/>
    <col min="24" max="24" width="9.85546875" style="416" customWidth="1"/>
    <col min="25" max="25" width="12.7109375" style="416" customWidth="1"/>
    <col min="26" max="26" width="11.140625" style="416" customWidth="1"/>
    <col min="27" max="27" width="12.7109375" style="416" customWidth="1"/>
    <col min="28" max="28" width="11.5703125" style="416" customWidth="1"/>
    <col min="29" max="29" width="13.5703125" style="416" customWidth="1"/>
    <col min="30" max="30" width="12.7109375" style="1655" customWidth="1"/>
    <col min="31" max="31" width="8.140625" style="1655" customWidth="1"/>
    <col min="32" max="32" width="12.42578125" style="1655" customWidth="1"/>
    <col min="33" max="33" width="8.140625" style="1655" customWidth="1"/>
    <col min="34" max="34" width="13.28515625" style="1655" customWidth="1"/>
    <col min="35" max="35" width="8.140625" style="1655" customWidth="1"/>
    <col min="36" max="36" width="13.85546875" style="1655" customWidth="1"/>
    <col min="37" max="37" width="8.5703125" style="1655" customWidth="1"/>
    <col min="38" max="38" width="13.140625" style="1655" customWidth="1"/>
    <col min="39" max="39" width="12" style="1655" customWidth="1"/>
    <col min="40" max="40" width="8.140625" style="1655" customWidth="1"/>
    <col min="41" max="41" width="11.85546875" style="1655" customWidth="1"/>
    <col min="42" max="42" width="8.140625" style="1655" customWidth="1"/>
    <col min="43" max="43" width="11.5703125" style="1655" customWidth="1"/>
    <col min="44" max="44" width="11.42578125" style="1655" customWidth="1"/>
    <col min="45" max="47" width="11.5703125" style="1655" customWidth="1"/>
    <col min="48" max="48" width="13.7109375" style="1655" customWidth="1"/>
    <col min="49" max="49" width="12.7109375" style="1655" customWidth="1"/>
    <col min="50" max="50" width="12.85546875" style="1656" customWidth="1"/>
    <col min="51" max="51" width="12.7109375" style="1656" bestFit="1" customWidth="1"/>
    <col min="52" max="52" width="33.140625" style="416" customWidth="1"/>
    <col min="53" max="54" width="11.5703125" style="366" customWidth="1"/>
    <col min="55" max="55" width="9" style="366"/>
    <col min="56" max="56" width="13.28515625" style="366" customWidth="1"/>
    <col min="57" max="57" width="9" style="366"/>
    <col min="58" max="58" width="10.28515625" style="1125" customWidth="1"/>
    <col min="59" max="59" width="15.85546875" style="1125" customWidth="1"/>
    <col min="60" max="60" width="12.5703125" style="1125" customWidth="1"/>
    <col min="61" max="61" width="11.28515625" style="1125" customWidth="1"/>
    <col min="62" max="62" width="10" style="1125" bestFit="1" customWidth="1"/>
    <col min="63" max="71" width="9" style="1125"/>
    <col min="72" max="16384" width="9" style="1062"/>
  </cols>
  <sheetData>
    <row r="1" spans="1:62" ht="25.5" customHeight="1" thickBot="1" x14ac:dyDescent="0.35">
      <c r="A1" s="3305" t="s">
        <v>689</v>
      </c>
      <c r="B1" s="3305"/>
      <c r="C1" s="3305"/>
      <c r="D1" s="3305"/>
      <c r="E1" s="3305"/>
      <c r="F1" s="3305"/>
      <c r="G1" s="3305"/>
      <c r="H1" s="3305"/>
      <c r="I1" s="3305"/>
      <c r="J1" s="3305"/>
      <c r="K1" s="3305"/>
      <c r="L1" s="3305"/>
      <c r="M1" s="3305"/>
      <c r="N1" s="3305"/>
      <c r="O1" s="3305"/>
      <c r="P1" s="3305"/>
      <c r="Q1" s="3305"/>
      <c r="R1" s="3305"/>
      <c r="S1" s="3305"/>
      <c r="T1" s="3305"/>
      <c r="U1" s="3305"/>
      <c r="V1" s="3305"/>
      <c r="W1" s="3305"/>
      <c r="X1" s="3305"/>
      <c r="Y1" s="3305"/>
      <c r="Z1" s="3305"/>
      <c r="AA1" s="3305"/>
      <c r="AB1" s="3305"/>
      <c r="AC1" s="3305"/>
      <c r="AD1" s="1665"/>
      <c r="AE1" s="1665"/>
      <c r="AF1" s="1665"/>
      <c r="AG1" s="1665"/>
      <c r="AH1" s="1665"/>
      <c r="AI1" s="1665"/>
      <c r="AJ1" s="1665"/>
      <c r="AK1" s="1665"/>
      <c r="AL1" s="1665"/>
      <c r="AM1" s="1665"/>
      <c r="AN1" s="1665"/>
      <c r="AO1" s="1665"/>
      <c r="AP1" s="1665"/>
      <c r="AQ1" s="1665"/>
      <c r="AR1" s="1665"/>
      <c r="AS1" s="1665"/>
      <c r="AT1" s="1665"/>
      <c r="AU1" s="1665"/>
      <c r="AV1" s="1895">
        <f>F4-7684950</f>
        <v>-7233</v>
      </c>
      <c r="AW1" s="1665"/>
      <c r="AX1" s="1774" t="s">
        <v>675</v>
      </c>
      <c r="AY1" s="1799">
        <f ca="1">TODAY()</f>
        <v>45660</v>
      </c>
    </row>
    <row r="2" spans="1:62" ht="22.5" customHeight="1" thickTop="1" x14ac:dyDescent="0.3">
      <c r="A2" s="3329" t="s">
        <v>0</v>
      </c>
      <c r="B2" s="3330"/>
      <c r="C2" s="3330"/>
      <c r="D2" s="3331"/>
      <c r="E2" s="3346" t="s">
        <v>615</v>
      </c>
      <c r="F2" s="3308" t="s">
        <v>700</v>
      </c>
      <c r="G2" s="3319" t="s">
        <v>701</v>
      </c>
      <c r="H2" s="3321" t="s">
        <v>713</v>
      </c>
      <c r="I2" s="3310" t="s">
        <v>710</v>
      </c>
      <c r="J2" s="3319" t="s">
        <v>711</v>
      </c>
      <c r="K2" s="3321" t="s">
        <v>712</v>
      </c>
      <c r="L2" s="3315" t="s">
        <v>616</v>
      </c>
      <c r="M2" s="3316"/>
      <c r="N2" s="3306" t="s">
        <v>617</v>
      </c>
      <c r="O2" s="3307"/>
      <c r="P2" s="3306" t="s">
        <v>618</v>
      </c>
      <c r="Q2" s="3307"/>
      <c r="R2" s="3335" t="s">
        <v>619</v>
      </c>
      <c r="S2" s="3336"/>
      <c r="T2" s="3337"/>
      <c r="U2" s="3317" t="s">
        <v>620</v>
      </c>
      <c r="V2" s="3318"/>
      <c r="W2" s="3317" t="s">
        <v>621</v>
      </c>
      <c r="X2" s="3318"/>
      <c r="Y2" s="3317" t="s">
        <v>622</v>
      </c>
      <c r="Z2" s="3318"/>
      <c r="AA2" s="3312" t="s">
        <v>623</v>
      </c>
      <c r="AB2" s="3313"/>
      <c r="AC2" s="3314"/>
      <c r="AD2" s="3306" t="s">
        <v>655</v>
      </c>
      <c r="AE2" s="3307"/>
      <c r="AF2" s="3306" t="s">
        <v>656</v>
      </c>
      <c r="AG2" s="3307"/>
      <c r="AH2" s="3306" t="s">
        <v>657</v>
      </c>
      <c r="AI2" s="3307"/>
      <c r="AJ2" s="3335" t="s">
        <v>658</v>
      </c>
      <c r="AK2" s="3336"/>
      <c r="AL2" s="3337"/>
      <c r="AM2" s="3306" t="s">
        <v>659</v>
      </c>
      <c r="AN2" s="3307"/>
      <c r="AO2" s="3306" t="s">
        <v>660</v>
      </c>
      <c r="AP2" s="3307"/>
      <c r="AQ2" s="3306" t="s">
        <v>661</v>
      </c>
      <c r="AR2" s="3307"/>
      <c r="AS2" s="3335" t="s">
        <v>662</v>
      </c>
      <c r="AT2" s="3336"/>
      <c r="AU2" s="3337"/>
      <c r="AV2" s="3338" t="s">
        <v>706</v>
      </c>
      <c r="AW2" s="1813" t="s">
        <v>28</v>
      </c>
      <c r="AX2" s="1685" t="s">
        <v>28</v>
      </c>
      <c r="AY2" s="3323" t="s">
        <v>16</v>
      </c>
      <c r="BA2" s="406">
        <f>E5+E6+E7+E8+E11+E12+E13</f>
        <v>15254300</v>
      </c>
    </row>
    <row r="3" spans="1:62" ht="55.5" customHeight="1" thickBot="1" x14ac:dyDescent="0.35">
      <c r="A3" s="3332"/>
      <c r="B3" s="3333"/>
      <c r="C3" s="3333"/>
      <c r="D3" s="3334"/>
      <c r="E3" s="3347"/>
      <c r="F3" s="3309"/>
      <c r="G3" s="3320"/>
      <c r="H3" s="3322"/>
      <c r="I3" s="3311"/>
      <c r="J3" s="3320"/>
      <c r="K3" s="3322"/>
      <c r="L3" s="1835" t="s">
        <v>702</v>
      </c>
      <c r="M3" s="1836" t="s">
        <v>703</v>
      </c>
      <c r="N3" s="1835" t="s">
        <v>702</v>
      </c>
      <c r="O3" s="1836" t="s">
        <v>703</v>
      </c>
      <c r="P3" s="1835" t="s">
        <v>702</v>
      </c>
      <c r="Q3" s="1836" t="s">
        <v>703</v>
      </c>
      <c r="R3" s="1837" t="s">
        <v>702</v>
      </c>
      <c r="S3" s="1838" t="s">
        <v>703</v>
      </c>
      <c r="T3" s="1720" t="s">
        <v>516</v>
      </c>
      <c r="U3" s="1835" t="s">
        <v>702</v>
      </c>
      <c r="V3" s="1865" t="s">
        <v>703</v>
      </c>
      <c r="W3" s="1835" t="s">
        <v>702</v>
      </c>
      <c r="X3" s="1865" t="s">
        <v>703</v>
      </c>
      <c r="Y3" s="1835" t="s">
        <v>702</v>
      </c>
      <c r="Z3" s="1865" t="s">
        <v>703</v>
      </c>
      <c r="AA3" s="1837" t="s">
        <v>702</v>
      </c>
      <c r="AB3" s="1838" t="s">
        <v>703</v>
      </c>
      <c r="AC3" s="1720" t="s">
        <v>516</v>
      </c>
      <c r="AD3" s="1866" t="s">
        <v>702</v>
      </c>
      <c r="AE3" s="1836" t="s">
        <v>703</v>
      </c>
      <c r="AF3" s="1866" t="s">
        <v>702</v>
      </c>
      <c r="AG3" s="1836" t="s">
        <v>703</v>
      </c>
      <c r="AH3" s="1866" t="s">
        <v>702</v>
      </c>
      <c r="AI3" s="1836" t="s">
        <v>703</v>
      </c>
      <c r="AJ3" s="1867" t="s">
        <v>702</v>
      </c>
      <c r="AK3" s="1868" t="s">
        <v>703</v>
      </c>
      <c r="AL3" s="1721" t="s">
        <v>516</v>
      </c>
      <c r="AM3" s="1866" t="s">
        <v>702</v>
      </c>
      <c r="AN3" s="1836" t="s">
        <v>703</v>
      </c>
      <c r="AO3" s="1866" t="s">
        <v>702</v>
      </c>
      <c r="AP3" s="1836" t="s">
        <v>703</v>
      </c>
      <c r="AQ3" s="1866" t="s">
        <v>702</v>
      </c>
      <c r="AR3" s="1836" t="s">
        <v>703</v>
      </c>
      <c r="AS3" s="1867" t="s">
        <v>702</v>
      </c>
      <c r="AT3" s="1868" t="s">
        <v>703</v>
      </c>
      <c r="AU3" s="1721" t="s">
        <v>516</v>
      </c>
      <c r="AV3" s="3339"/>
      <c r="AW3" s="1814" t="s">
        <v>704</v>
      </c>
      <c r="AX3" s="1737" t="s">
        <v>705</v>
      </c>
      <c r="AY3" s="3324"/>
      <c r="BA3" s="406">
        <f>E4-BA2</f>
        <v>115600</v>
      </c>
    </row>
    <row r="4" spans="1:62" ht="22.5" customHeight="1" thickBot="1" x14ac:dyDescent="0.4">
      <c r="A4" s="1690" t="s">
        <v>685</v>
      </c>
      <c r="B4" s="1690"/>
      <c r="C4" s="1691"/>
      <c r="D4" s="1692"/>
      <c r="E4" s="1851">
        <v>15369900</v>
      </c>
      <c r="F4" s="1889">
        <f>SUM(F5:F13)</f>
        <v>7677717</v>
      </c>
      <c r="G4" s="1880">
        <f>SUM(G5:G12)</f>
        <v>557700</v>
      </c>
      <c r="H4" s="1719">
        <f t="shared" ref="H4:H24" si="0">F4-G4</f>
        <v>7120017</v>
      </c>
      <c r="I4" s="1717"/>
      <c r="J4" s="1719"/>
      <c r="K4" s="1719"/>
      <c r="L4" s="1719">
        <f>L6+L7+L8+L9+L11+L12+L13</f>
        <v>994479</v>
      </c>
      <c r="M4" s="1719" t="e">
        <f t="shared" ref="M4:AU4" si="1">M6+M7+M8+M9+M11+M12+M13</f>
        <v>#REF!</v>
      </c>
      <c r="N4" s="1719">
        <f t="shared" si="1"/>
        <v>1040517</v>
      </c>
      <c r="O4" s="1719" t="e">
        <f t="shared" si="1"/>
        <v>#REF!</v>
      </c>
      <c r="P4" s="1719">
        <f t="shared" si="1"/>
        <v>1184502</v>
      </c>
      <c r="Q4" s="1719" t="e">
        <f t="shared" si="1"/>
        <v>#REF!</v>
      </c>
      <c r="R4" s="1719">
        <f t="shared" si="1"/>
        <v>3219498</v>
      </c>
      <c r="S4" s="1719" t="e">
        <f>S6+S7+S8+S9+S11+S12+S13</f>
        <v>#REF!</v>
      </c>
      <c r="T4" s="1719" t="e">
        <f t="shared" si="1"/>
        <v>#REF!</v>
      </c>
      <c r="U4" s="1715">
        <f t="shared" si="1"/>
        <v>1038392</v>
      </c>
      <c r="V4" s="1716" t="e">
        <f t="shared" si="1"/>
        <v>#REF!</v>
      </c>
      <c r="W4" s="1715">
        <f t="shared" si="1"/>
        <v>1100742</v>
      </c>
      <c r="X4" s="1716" t="e">
        <f t="shared" si="1"/>
        <v>#REF!</v>
      </c>
      <c r="Y4" s="1715" t="e">
        <f t="shared" si="1"/>
        <v>#REF!</v>
      </c>
      <c r="Z4" s="1716" t="e">
        <f t="shared" si="1"/>
        <v>#REF!</v>
      </c>
      <c r="AA4" s="1723" t="e">
        <f>AA6+AA7+AA8+AA9+AA11+AA12+AA13</f>
        <v>#REF!</v>
      </c>
      <c r="AB4" s="1727" t="e">
        <f>AB6+AB7+AB8+AB9+AB11+AB12+AB13</f>
        <v>#REF!</v>
      </c>
      <c r="AC4" s="1717" t="e">
        <f t="shared" si="1"/>
        <v>#REF!</v>
      </c>
      <c r="AD4" s="1715" t="e">
        <f t="shared" si="1"/>
        <v>#REF!</v>
      </c>
      <c r="AE4" s="1716" t="e">
        <f t="shared" si="1"/>
        <v>#REF!</v>
      </c>
      <c r="AF4" s="1715" t="e">
        <f t="shared" si="1"/>
        <v>#REF!</v>
      </c>
      <c r="AG4" s="1716" t="e">
        <f t="shared" si="1"/>
        <v>#REF!</v>
      </c>
      <c r="AH4" s="1715" t="e">
        <f t="shared" si="1"/>
        <v>#REF!</v>
      </c>
      <c r="AI4" s="1716" t="e">
        <f t="shared" si="1"/>
        <v>#REF!</v>
      </c>
      <c r="AJ4" s="1723" t="e">
        <f t="shared" si="1"/>
        <v>#REF!</v>
      </c>
      <c r="AK4" s="1727" t="e">
        <f t="shared" si="1"/>
        <v>#REF!</v>
      </c>
      <c r="AL4" s="1717" t="e">
        <f t="shared" si="1"/>
        <v>#REF!</v>
      </c>
      <c r="AM4" s="1715" t="e">
        <f t="shared" si="1"/>
        <v>#REF!</v>
      </c>
      <c r="AN4" s="1716" t="e">
        <f t="shared" si="1"/>
        <v>#REF!</v>
      </c>
      <c r="AO4" s="1715" t="e">
        <f t="shared" si="1"/>
        <v>#REF!</v>
      </c>
      <c r="AP4" s="1716" t="e">
        <f t="shared" si="1"/>
        <v>#REF!</v>
      </c>
      <c r="AQ4" s="1715" t="e">
        <f t="shared" si="1"/>
        <v>#REF!</v>
      </c>
      <c r="AR4" s="1716" t="e">
        <f t="shared" si="1"/>
        <v>#REF!</v>
      </c>
      <c r="AS4" s="1723" t="e">
        <f t="shared" si="1"/>
        <v>#REF!</v>
      </c>
      <c r="AT4" s="1727" t="e">
        <f t="shared" si="1"/>
        <v>#REF!</v>
      </c>
      <c r="AU4" s="1717" t="e">
        <f t="shared" si="1"/>
        <v>#REF!</v>
      </c>
      <c r="AV4" s="1828" t="e">
        <f>H4-S4</f>
        <v>#REF!</v>
      </c>
      <c r="AW4" s="1723" t="e">
        <f>E5+R4+AA4+AJ4+AS4</f>
        <v>#REF!</v>
      </c>
      <c r="AX4" s="1718" t="e">
        <f t="shared" ref="AX4:AX46" si="2">G4+S4+AB4+AK4+AT4</f>
        <v>#REF!</v>
      </c>
      <c r="AY4" s="1719" t="e">
        <f>E4-AX4</f>
        <v>#REF!</v>
      </c>
      <c r="AZ4" s="416" t="e">
        <f>AX4-AX5</f>
        <v>#REF!</v>
      </c>
      <c r="BA4" s="406"/>
    </row>
    <row r="5" spans="1:62" ht="19.5" customHeight="1" x14ac:dyDescent="0.35">
      <c r="A5" s="1668"/>
      <c r="B5" s="1669" t="s">
        <v>624</v>
      </c>
      <c r="C5" s="1669"/>
      <c r="D5" s="1669"/>
      <c r="E5" s="1852">
        <v>1104918</v>
      </c>
      <c r="F5" s="1839">
        <v>557700</v>
      </c>
      <c r="G5" s="1881">
        <v>557700</v>
      </c>
      <c r="H5" s="1878">
        <f t="shared" si="0"/>
        <v>0</v>
      </c>
      <c r="I5" s="1922"/>
      <c r="J5" s="1878"/>
      <c r="K5" s="1878"/>
      <c r="L5" s="1710"/>
      <c r="M5" s="1711"/>
      <c r="N5" s="1710"/>
      <c r="O5" s="1711"/>
      <c r="P5" s="1710"/>
      <c r="Q5" s="1711"/>
      <c r="R5" s="1724"/>
      <c r="S5" s="1728">
        <f>SUM(M5+O5+Q5)</f>
        <v>0</v>
      </c>
      <c r="T5" s="1712">
        <f>R5-S5</f>
        <v>0</v>
      </c>
      <c r="U5" s="1710"/>
      <c r="V5" s="1711"/>
      <c r="W5" s="1710"/>
      <c r="X5" s="1711"/>
      <c r="Y5" s="1710"/>
      <c r="Z5" s="1711"/>
      <c r="AA5" s="1724">
        <f>SUM(U5+W5+Y5)</f>
        <v>0</v>
      </c>
      <c r="AB5" s="1728">
        <f>SUM(V5+X5+Z5)</f>
        <v>0</v>
      </c>
      <c r="AC5" s="1712">
        <f>AA5-AB5</f>
        <v>0</v>
      </c>
      <c r="AD5" s="1710"/>
      <c r="AE5" s="1711"/>
      <c r="AF5" s="1710"/>
      <c r="AG5" s="1711"/>
      <c r="AH5" s="1710"/>
      <c r="AI5" s="1711"/>
      <c r="AJ5" s="1724">
        <f t="shared" ref="AJ5:AK12" si="3">SUM(AD5+AF5+AH5)</f>
        <v>0</v>
      </c>
      <c r="AK5" s="1728">
        <f t="shared" si="3"/>
        <v>0</v>
      </c>
      <c r="AL5" s="1712">
        <f>AJ5-AK5</f>
        <v>0</v>
      </c>
      <c r="AM5" s="1710"/>
      <c r="AN5" s="1711"/>
      <c r="AO5" s="1710"/>
      <c r="AP5" s="1711"/>
      <c r="AQ5" s="1710"/>
      <c r="AR5" s="1711"/>
      <c r="AS5" s="1724">
        <f t="shared" ref="AS5:AT12" si="4">SUM(AM5+AO5+AQ5)</f>
        <v>0</v>
      </c>
      <c r="AT5" s="1728">
        <f t="shared" si="4"/>
        <v>0</v>
      </c>
      <c r="AU5" s="1712">
        <f>AS5-AT5</f>
        <v>0</v>
      </c>
      <c r="AV5" s="1891">
        <f t="shared" ref="AV5:AV24" si="5">H5-S5-AB5</f>
        <v>0</v>
      </c>
      <c r="AW5" s="1724">
        <f>E5+R5+AA5+AJ5+AS5</f>
        <v>1104918</v>
      </c>
      <c r="AX5" s="1700">
        <f t="shared" si="2"/>
        <v>557700</v>
      </c>
      <c r="AY5" s="1714">
        <f>E5-G5-S5-AB5-AK5-AT5</f>
        <v>547218</v>
      </c>
      <c r="BA5" s="406"/>
    </row>
    <row r="6" spans="1:62" ht="19.5" customHeight="1" x14ac:dyDescent="0.35">
      <c r="A6" s="1668"/>
      <c r="B6" s="1669" t="s">
        <v>663</v>
      </c>
      <c r="C6" s="1669"/>
      <c r="D6" s="1669"/>
      <c r="E6" s="1853">
        <f>3919980+100000+200000+248820</f>
        <v>4468800</v>
      </c>
      <c r="F6" s="1893">
        <f>E6/2</f>
        <v>2234400</v>
      </c>
      <c r="G6" s="1882"/>
      <c r="H6" s="1879">
        <f t="shared" si="0"/>
        <v>2234400</v>
      </c>
      <c r="I6" s="1796"/>
      <c r="J6" s="1879"/>
      <c r="K6" s="1879"/>
      <c r="L6" s="1698">
        <v>372400</v>
      </c>
      <c r="M6" s="1699">
        <f>'[9]2.รายการ คชจ.ส่วนกลาง'!$AX$4+'[9]2.รายการ คชจ.ส่วนกลาง'!$AY$4+'[9]2.รายการ คชจ.ส่วนกลาง'!$AZ$4</f>
        <v>372400</v>
      </c>
      <c r="N6" s="1698">
        <v>372400</v>
      </c>
      <c r="O6" s="1699">
        <f>'[9]2.รายการ คชจ.ส่วนกลาง'!$AX$5+'[9]2.รายการ คชจ.ส่วนกลาง'!$AY$5+'[9]2.รายการ คชจ.ส่วนกลาง'!$AZ$5</f>
        <v>372400</v>
      </c>
      <c r="P6" s="1698">
        <v>372400</v>
      </c>
      <c r="Q6" s="1699">
        <f>'[9]2.รายการ คชจ.ส่วนกลาง'!$AX$6+'[9]2.รายการ คชจ.ส่วนกลาง'!$AY$6+'[9]2.รายการ คชจ.ส่วนกลาง'!$AZ$6</f>
        <v>364335</v>
      </c>
      <c r="R6" s="1724">
        <f>SUM(G6+L6+N6+P6)</f>
        <v>1117200</v>
      </c>
      <c r="S6" s="1728">
        <f>SUM(M6+O6+Q6)</f>
        <v>1109135</v>
      </c>
      <c r="T6" s="1712">
        <f>R6-S6</f>
        <v>8065</v>
      </c>
      <c r="U6" s="1698">
        <v>372400</v>
      </c>
      <c r="V6" s="1699">
        <f>'[9]2.รายการ คชจ.ส่วนกลาง'!$AX$7+'[9]2.รายการ คชจ.ส่วนกลาง'!$AY$7+'[9]2.รายการ คชจ.ส่วนกลาง'!$AZ$7</f>
        <v>372900</v>
      </c>
      <c r="W6" s="1698">
        <v>372400</v>
      </c>
      <c r="X6" s="1699">
        <f>'[9]2.รายการ คชจ.ส่วนกลาง'!$AX$8+'[9]2.รายการ คชจ.ส่วนกลาง'!$AY$8+'[9]2.รายการ คชจ.ส่วนกลาง'!$AZ$8</f>
        <v>372900</v>
      </c>
      <c r="Y6" s="1698">
        <v>372400</v>
      </c>
      <c r="Z6" s="1699">
        <f>'[9]2.รายการ คชจ.ส่วนกลาง'!$AX$9+'[9]2.รายการ คชจ.ส่วนกลาง'!$AY$9+'[9]2.รายการ คชจ.ส่วนกลาง'!$AZ$9</f>
        <v>382740</v>
      </c>
      <c r="AA6" s="1725">
        <f>U6+W6+Y6</f>
        <v>1117200</v>
      </c>
      <c r="AB6" s="1729">
        <f t="shared" ref="AB6:AB61" si="6">SUM(V6+X6+Z6)</f>
        <v>1128540</v>
      </c>
      <c r="AC6" s="1696">
        <f t="shared" ref="AC6:AC62" si="7">AA6-AB6</f>
        <v>-11340</v>
      </c>
      <c r="AD6" s="1698">
        <v>372400</v>
      </c>
      <c r="AE6" s="1699">
        <f>'[9]2.รายการ คชจ.ส่วนกลาง'!$AX$10+'[9]2.รายการ คชจ.ส่วนกลาง'!$AY$10+'[9]2.รายการ คชจ.ส่วนกลาง'!$AZ$10</f>
        <v>367940</v>
      </c>
      <c r="AF6" s="1698">
        <v>372400</v>
      </c>
      <c r="AG6" s="1699">
        <f>'[9]2.รายการ คชจ.ส่วนกลาง'!$AX$11+'[9]2.รายการ คชจ.ส่วนกลาง'!$AY$11+'[9]2.รายการ คชจ.ส่วนกลาง'!$AZ$11</f>
        <v>382240</v>
      </c>
      <c r="AH6" s="1698">
        <v>372400</v>
      </c>
      <c r="AI6" s="1699">
        <f>'[9]2.รายการ คชจ.ส่วนกลาง'!$AX$12+'[9]2.รายการ คชจ.ส่วนกลาง'!$AY$12+'[9]2.รายการ คชจ.ส่วนกลาง'!$AZ$12</f>
        <v>382240</v>
      </c>
      <c r="AJ6" s="1725">
        <f>AD6+AF6+AH6</f>
        <v>1117200</v>
      </c>
      <c r="AK6" s="1729"/>
      <c r="AL6" s="1696"/>
      <c r="AM6" s="1698">
        <v>372400</v>
      </c>
      <c r="AN6" s="1699">
        <f>'[9]2.รายการ คชจ.ส่วนกลาง'!$AX$13+'[9]2.รายการ คชจ.ส่วนกลาง'!$AY$13+'[9]2.รายการ คชจ.ส่วนกลาง'!$AZ$13</f>
        <v>372620</v>
      </c>
      <c r="AO6" s="1698">
        <v>372400</v>
      </c>
      <c r="AP6" s="1699">
        <f>'[9]2.รายการ คชจ.ส่วนกลาง'!$AX$14+'[9]2.รายการ คชจ.ส่วนกลาง'!$AY$14+'[9]2.รายการ คชจ.ส่วนกลาง'!$AZ$14</f>
        <v>381619</v>
      </c>
      <c r="AQ6" s="1698">
        <v>372400</v>
      </c>
      <c r="AR6" s="1699">
        <f>'[9]2.รายการ คชจ.ส่วนกลาง'!$AX$15+'[9]2.รายการ คชจ.ส่วนกลาง'!$AY$15+'[9]2.รายการ คชจ.ส่วนกลาง'!$AZ$15</f>
        <v>382240</v>
      </c>
      <c r="AS6" s="1725">
        <f>+AM6+AO6+AQ6</f>
        <v>1117200</v>
      </c>
      <c r="AT6" s="1729"/>
      <c r="AU6" s="1696"/>
      <c r="AV6" s="1892">
        <f t="shared" si="5"/>
        <v>-3275</v>
      </c>
      <c r="AW6" s="1725">
        <f t="shared" ref="AW6:AW23" si="8">G6+R6+AA6+AJ6+AS6</f>
        <v>4468800</v>
      </c>
      <c r="AX6" s="1700">
        <f t="shared" si="2"/>
        <v>2237675</v>
      </c>
      <c r="AY6" s="1701">
        <f>E6-S6-AB6-AK6-AT6</f>
        <v>2231125</v>
      </c>
    </row>
    <row r="7" spans="1:62" ht="19.5" customHeight="1" x14ac:dyDescent="0.35">
      <c r="A7" s="1668"/>
      <c r="B7" s="1669" t="s">
        <v>664</v>
      </c>
      <c r="C7" s="1669"/>
      <c r="D7" s="1669"/>
      <c r="E7" s="1852">
        <f>984000+11000+165600-96600+126000</f>
        <v>1190000</v>
      </c>
      <c r="F7" s="1893">
        <f>E7/2-54674</f>
        <v>540326</v>
      </c>
      <c r="G7" s="1882"/>
      <c r="H7" s="1879">
        <f t="shared" si="0"/>
        <v>540326</v>
      </c>
      <c r="I7" s="1796"/>
      <c r="J7" s="1879"/>
      <c r="K7" s="1879"/>
      <c r="L7" s="1698">
        <v>96717</v>
      </c>
      <c r="M7" s="1699">
        <f>'[9]1.รายการผูกพัน (สัญญาทั้งปี)'!$AQ$4+'[9]1.รายการผูกพัน (สัญญาทั้งปี)'!$AR$4+'[9]1.รายการผูกพัน (สัญญาทั้งปี)'!$AS$4</f>
        <v>99043.48</v>
      </c>
      <c r="N7" s="1698">
        <v>96717</v>
      </c>
      <c r="O7" s="1699">
        <f>'[9]1.รายการผูกพัน (สัญญาทั้งปี)'!$AQ$5+'[9]1.รายการผูกพัน (สัญญาทั้งปี)'!$AR$5+'[9]1.รายการผูกพัน (สัญญาทั้งปี)'!$AS$5</f>
        <v>89906.84</v>
      </c>
      <c r="P7" s="1698">
        <v>96717</v>
      </c>
      <c r="Q7" s="1699">
        <f>'[9]1.รายการผูกพัน (สัญญาทั้งปี)'!$AQ$6+'[9]1.รายการผูกพัน (สัญญาทั้งปี)'!$AR$6+'[9]1.รายการผูกพัน (สัญญาทั้งปี)'!$AS$6</f>
        <v>102229.74</v>
      </c>
      <c r="R7" s="1725">
        <f t="shared" ref="R7:R12" si="9">SUM(L7+N7+P7)</f>
        <v>290151</v>
      </c>
      <c r="S7" s="1729">
        <f t="shared" ref="S7:S61" si="10">SUM(M7+O7+Q7)</f>
        <v>291180.06</v>
      </c>
      <c r="T7" s="1696">
        <f t="shared" ref="T7:T62" si="11">R7-S7</f>
        <v>-1029.0599999999977</v>
      </c>
      <c r="U7" s="1698">
        <v>96717</v>
      </c>
      <c r="V7" s="1699">
        <f>'[9]1.รายการผูกพัน (สัญญาทั้งปี)'!$AQ$7+'[9]1.รายการผูกพัน (สัญญาทั้งปี)'!$AR$7+'[9]1.รายการผูกพัน (สัญญาทั้งปี)'!$AS$7</f>
        <v>107157.58</v>
      </c>
      <c r="W7" s="1698">
        <v>96717</v>
      </c>
      <c r="X7" s="1699">
        <f>'[9]1.รายการผูกพัน (สัญญาทั้งปี)'!$AQ$8+'[9]1.รายการผูกพัน (สัญญาทั้งปี)'!$AR$8+'[9]1.รายการผูกพัน (สัญญาทั้งปี)'!$AS$8</f>
        <v>98515.47</v>
      </c>
      <c r="Y7" s="1698">
        <f>96717-13800+18000</f>
        <v>100917</v>
      </c>
      <c r="Z7" s="1699">
        <f>'[9]1.รายการผูกพัน (สัญญาทั้งปี)'!$AQ$9+'[9]1.รายการผูกพัน (สัญญาทั้งปี)'!$AR$9+'[9]1.รายการผูกพัน (สัญญาทั้งปี)'!$AS$9</f>
        <v>99979.03</v>
      </c>
      <c r="AA7" s="1725">
        <f t="shared" ref="AA7:AA61" si="12">SUM(U7+W7+Y7)</f>
        <v>294351</v>
      </c>
      <c r="AB7" s="1729">
        <f t="shared" si="6"/>
        <v>305652.07999999996</v>
      </c>
      <c r="AC7" s="1696">
        <f t="shared" si="7"/>
        <v>-11301.079999999958</v>
      </c>
      <c r="AD7" s="1698">
        <f>96717-13800+18000</f>
        <v>100917</v>
      </c>
      <c r="AE7" s="1699">
        <f>'[9]1.รายการผูกพัน (สัญญาทั้งปี)'!$AQ$10+'[9]1.รายการผูกพัน (สัญญาทั้งปี)'!$AR$10+'[9]1.รายการผูกพัน (สัญญาทั้งปี)'!$AS$10</f>
        <v>95315.22</v>
      </c>
      <c r="AF7" s="1698">
        <f>96717-13800+18000</f>
        <v>100917</v>
      </c>
      <c r="AG7" s="1699">
        <f>'[9]1.รายการผูกพัน (สัญญาทั้งปี)'!$AQ$11+'[9]1.รายการผูกพัน (สัญญาทั้งปี)'!$AR$11+'[9]1.รายการผูกพัน (สัญญาทั้งปี)'!$AS$11</f>
        <v>92299.45</v>
      </c>
      <c r="AH7" s="1698">
        <f>96717-13800+18000</f>
        <v>100917</v>
      </c>
      <c r="AI7" s="1699">
        <f>'[9]1.รายการผูกพัน (สัญญาทั้งปี)'!$AQ$12+'[9]1.รายการผูกพัน (สัญญาทั้งปี)'!$AR$12+'[9]1.รายการผูกพัน (สัญญาทั้งปี)'!$AS$12</f>
        <v>96107.62</v>
      </c>
      <c r="AJ7" s="1725">
        <f t="shared" si="3"/>
        <v>302751</v>
      </c>
      <c r="AK7" s="1729">
        <f t="shared" si="3"/>
        <v>283722.28999999998</v>
      </c>
      <c r="AL7" s="1696">
        <f t="shared" ref="AL7:AL13" si="13">AJ7-AK7</f>
        <v>19028.710000000021</v>
      </c>
      <c r="AM7" s="1698">
        <f>96717-13800+18000</f>
        <v>100917</v>
      </c>
      <c r="AN7" s="1699">
        <f>'[9]1.รายการผูกพัน (สัญญาทั้งปี)'!$AQ$13+'[9]1.รายการผูกพัน (สัญญาทั้งปี)'!$AR$13+'[9]1.รายการผูกพัน (สัญญาทั้งปี)'!$AS$13</f>
        <v>2033</v>
      </c>
      <c r="AO7" s="1698">
        <f>96717-13800+18000</f>
        <v>100917</v>
      </c>
      <c r="AP7" s="1699">
        <f>'[9]1.รายการผูกพัน (สัญญาทั้งปี)'!$AQ$14+'[9]1.รายการผูกพัน (สัญญาทั้งปี)'!$AR$14+'[9]1.รายการผูกพัน (สัญญาทั้งปี)'!$AS$14</f>
        <v>2033</v>
      </c>
      <c r="AQ7" s="1698">
        <f>96717-13800+18000</f>
        <v>100917</v>
      </c>
      <c r="AR7" s="1699">
        <f>'[9]1.รายการผูกพัน (สัญญาทั้งปี)'!$AQ$15+'[9]1.รายการผูกพัน (สัญญาทั้งปี)'!$AR$15+'[9]1.รายการผูกพัน (สัญญาทั้งปี)'!$AS$15</f>
        <v>2033</v>
      </c>
      <c r="AS7" s="1725">
        <f t="shared" si="4"/>
        <v>302751</v>
      </c>
      <c r="AT7" s="1729">
        <f t="shared" si="4"/>
        <v>6099</v>
      </c>
      <c r="AU7" s="1696">
        <f t="shared" ref="AU7:AU13" si="14">AS7-AT7</f>
        <v>296652</v>
      </c>
      <c r="AV7" s="1892">
        <f t="shared" si="5"/>
        <v>-56506.139999999956</v>
      </c>
      <c r="AW7" s="1725">
        <f t="shared" si="8"/>
        <v>1190004</v>
      </c>
      <c r="AX7" s="1700">
        <f t="shared" si="2"/>
        <v>886653.42999999993</v>
      </c>
      <c r="AY7" s="1701">
        <f>E7-S7-AB7</f>
        <v>593167.86</v>
      </c>
    </row>
    <row r="8" spans="1:62" ht="19.5" customHeight="1" x14ac:dyDescent="0.35">
      <c r="A8" s="1668"/>
      <c r="B8" s="1669" t="s">
        <v>625</v>
      </c>
      <c r="C8" s="1669"/>
      <c r="D8" s="1669"/>
      <c r="E8" s="1852">
        <f>5120700+223174-248820</f>
        <v>5095054</v>
      </c>
      <c r="F8" s="1893">
        <f t="shared" ref="F8:F13" si="15">E8/2</f>
        <v>2547527</v>
      </c>
      <c r="G8" s="1882"/>
      <c r="H8" s="1879">
        <f t="shared" si="0"/>
        <v>2547527</v>
      </c>
      <c r="I8" s="1796"/>
      <c r="J8" s="1879"/>
      <c r="K8" s="1879"/>
      <c r="L8" s="1698">
        <v>426725</v>
      </c>
      <c r="M8" s="1699">
        <f>'[9]3. ค่าสาธารณูปโภค'!$BK$4</f>
        <v>459502.87</v>
      </c>
      <c r="N8" s="1698">
        <v>426725</v>
      </c>
      <c r="O8" s="1699">
        <f>'[9]3. ค่าสาธารณูปโภค'!$BK$5</f>
        <v>451153.61</v>
      </c>
      <c r="P8" s="1698">
        <v>426725</v>
      </c>
      <c r="Q8" s="1699">
        <f>'[9]3. ค่าสาธารณูปโภค'!$BK$6</f>
        <v>451694.55</v>
      </c>
      <c r="R8" s="1725">
        <f t="shared" si="9"/>
        <v>1280175</v>
      </c>
      <c r="S8" s="1729">
        <f>SUM(M8+O8+Q8)</f>
        <v>1362351.03</v>
      </c>
      <c r="T8" s="1696">
        <f t="shared" si="11"/>
        <v>-82176.030000000028</v>
      </c>
      <c r="U8" s="1698">
        <v>426725</v>
      </c>
      <c r="V8" s="1699">
        <f>'[9]3. ค่าสาธารณูปโภค'!$BK$7</f>
        <v>395146.18</v>
      </c>
      <c r="W8" s="1698">
        <v>426725</v>
      </c>
      <c r="X8" s="1699">
        <f>'[9]3. ค่าสาธารณูปโภค'!$BK$8</f>
        <v>402572.95999999996</v>
      </c>
      <c r="Y8" s="1698">
        <f>426725+12000</f>
        <v>438725</v>
      </c>
      <c r="Z8" s="1699">
        <f>'[9]3. ค่าสาธารณูปโภค'!$BK$9</f>
        <v>415331.57</v>
      </c>
      <c r="AA8" s="1725">
        <f t="shared" si="12"/>
        <v>1292175</v>
      </c>
      <c r="AB8" s="1729">
        <f t="shared" si="6"/>
        <v>1213050.71</v>
      </c>
      <c r="AC8" s="1696">
        <f t="shared" si="7"/>
        <v>79124.290000000037</v>
      </c>
      <c r="AD8" s="1698">
        <f>426725+12000</f>
        <v>438725</v>
      </c>
      <c r="AE8" s="1699">
        <f>'[9]3. ค่าสาธารณูปโภค'!$BK$10</f>
        <v>423995.04</v>
      </c>
      <c r="AF8" s="1698">
        <f>426725+12000</f>
        <v>438725</v>
      </c>
      <c r="AG8" s="1699">
        <f>'[9]3. ค่าสาธารณูปโภค'!$BK$11</f>
        <v>436651.07999999996</v>
      </c>
      <c r="AH8" s="1698">
        <f>426725+12000</f>
        <v>438725</v>
      </c>
      <c r="AI8" s="1699">
        <f>'[9]3. ค่าสาธารณูปโภค'!$BK$12</f>
        <v>421525.89999999997</v>
      </c>
      <c r="AJ8" s="1725">
        <f t="shared" si="3"/>
        <v>1316175</v>
      </c>
      <c r="AK8" s="1729">
        <f t="shared" si="3"/>
        <v>1282172.0199999998</v>
      </c>
      <c r="AL8" s="1696">
        <f t="shared" si="13"/>
        <v>34002.980000000214</v>
      </c>
      <c r="AM8" s="1698">
        <f>426725+12000</f>
        <v>438725</v>
      </c>
      <c r="AN8" s="1699">
        <f>'[9]3. ค่าสาธารณูปโภค'!$BK$13</f>
        <v>418905.35</v>
      </c>
      <c r="AO8" s="1698">
        <f>426725+12000</f>
        <v>438725</v>
      </c>
      <c r="AP8" s="1699">
        <f>'[9]3. ค่าสาธารณูปโภค'!$BK$14</f>
        <v>418914.67</v>
      </c>
      <c r="AQ8" s="1698">
        <f>426725+12000</f>
        <v>438725</v>
      </c>
      <c r="AR8" s="1699">
        <f>'[9]3. ค่าสาธารณูปโภค'!$BK$15</f>
        <v>331679.31</v>
      </c>
      <c r="AS8" s="1725">
        <f t="shared" si="4"/>
        <v>1316175</v>
      </c>
      <c r="AT8" s="1729">
        <f t="shared" si="4"/>
        <v>1169499.33</v>
      </c>
      <c r="AU8" s="1696">
        <f t="shared" si="14"/>
        <v>146675.66999999993</v>
      </c>
      <c r="AV8" s="1892">
        <f t="shared" si="5"/>
        <v>-27874.739999999991</v>
      </c>
      <c r="AW8" s="1725">
        <f t="shared" si="8"/>
        <v>5204700</v>
      </c>
      <c r="AX8" s="1700">
        <f t="shared" si="2"/>
        <v>5027073.09</v>
      </c>
      <c r="AY8" s="1701">
        <f>E8-AX8</f>
        <v>67980.910000000149</v>
      </c>
    </row>
    <row r="9" spans="1:62" ht="19.5" customHeight="1" x14ac:dyDescent="0.35">
      <c r="A9" s="1668"/>
      <c r="B9" s="1669" t="s">
        <v>690</v>
      </c>
      <c r="C9" s="1669"/>
      <c r="D9" s="1669"/>
      <c r="E9" s="1852">
        <v>200000</v>
      </c>
      <c r="F9" s="1893">
        <f t="shared" si="15"/>
        <v>100000</v>
      </c>
      <c r="G9" s="1882"/>
      <c r="H9" s="1879">
        <f t="shared" si="0"/>
        <v>100000</v>
      </c>
      <c r="I9" s="1796"/>
      <c r="J9" s="1879"/>
      <c r="K9" s="1879"/>
      <c r="L9" s="1698">
        <v>0</v>
      </c>
      <c r="M9" s="1699">
        <f>'[10]15ค่าวัสดุคอมฯ'!$I$4</f>
        <v>0</v>
      </c>
      <c r="N9" s="1698">
        <v>0</v>
      </c>
      <c r="O9" s="1699">
        <f>'[10]สรุป ผอ.ศสส ผชช. รายเดือน'!$C$5</f>
        <v>55503.7</v>
      </c>
      <c r="P9" s="1698">
        <v>50000</v>
      </c>
      <c r="Q9" s="1699">
        <f>'[10]สรุป ผอ.ศสส ผชช. รายเดือน'!$C$6</f>
        <v>0</v>
      </c>
      <c r="R9" s="1725">
        <f t="shared" si="9"/>
        <v>50000</v>
      </c>
      <c r="S9" s="1729">
        <f t="shared" si="10"/>
        <v>55503.7</v>
      </c>
      <c r="T9" s="1696">
        <f t="shared" si="11"/>
        <v>-5503.6999999999971</v>
      </c>
      <c r="U9" s="1698">
        <v>0</v>
      </c>
      <c r="V9" s="1699">
        <f>'[10]สรุป ผอ.ศสส ผชช. รายเดือน'!$C$7</f>
        <v>13910</v>
      </c>
      <c r="W9" s="1698">
        <v>0</v>
      </c>
      <c r="X9" s="1699">
        <f>'[10]สรุป ผอ.ศสส ผชช. รายเดือน'!$C$8</f>
        <v>0</v>
      </c>
      <c r="Y9" s="1698">
        <v>50000</v>
      </c>
      <c r="Z9" s="1699">
        <f>'[10]สรุป ผอ.ศสส ผชช. รายเดือน'!$C$9</f>
        <v>0</v>
      </c>
      <c r="AA9" s="1725">
        <f t="shared" si="12"/>
        <v>50000</v>
      </c>
      <c r="AB9" s="1729">
        <f t="shared" si="6"/>
        <v>13910</v>
      </c>
      <c r="AC9" s="1696">
        <f t="shared" si="7"/>
        <v>36090</v>
      </c>
      <c r="AD9" s="1698">
        <v>0</v>
      </c>
      <c r="AE9" s="1699">
        <f>'[10]สรุป ผอ.ศสส ผชช. รายเดือน'!$C$10</f>
        <v>65590.17</v>
      </c>
      <c r="AF9" s="1698">
        <v>0</v>
      </c>
      <c r="AG9" s="1699">
        <f>'[10]สรุป ผอ.ศสส ผชช. รายเดือน'!$C$11</f>
        <v>0</v>
      </c>
      <c r="AH9" s="1698">
        <v>50000</v>
      </c>
      <c r="AI9" s="1699">
        <f>'[10]สรุป ผอ.ศสส ผชช. รายเดือน'!$C$12</f>
        <v>0</v>
      </c>
      <c r="AJ9" s="1725">
        <f t="shared" si="3"/>
        <v>50000</v>
      </c>
      <c r="AK9" s="1729">
        <f t="shared" si="3"/>
        <v>65590.17</v>
      </c>
      <c r="AL9" s="1696">
        <f t="shared" si="13"/>
        <v>-15590.169999999998</v>
      </c>
      <c r="AM9" s="1698">
        <v>0</v>
      </c>
      <c r="AN9" s="1699">
        <f>'[10]สรุป ผอ.ศสส ผชช. รายเดือน'!$C$13</f>
        <v>2930</v>
      </c>
      <c r="AO9" s="1698">
        <v>0</v>
      </c>
      <c r="AP9" s="1699">
        <f>'[10]สรุป ผอ.ศสส ผชช. รายเดือน'!$C$14</f>
        <v>12709.2</v>
      </c>
      <c r="AQ9" s="1698">
        <v>50000</v>
      </c>
      <c r="AR9" s="1699">
        <f>'[10]สรุป ผอ.ศสส ผชช. รายเดือน'!$C$15</f>
        <v>53856.800000000003</v>
      </c>
      <c r="AS9" s="1725">
        <f t="shared" si="4"/>
        <v>50000</v>
      </c>
      <c r="AT9" s="1729">
        <f t="shared" si="4"/>
        <v>69496</v>
      </c>
      <c r="AU9" s="1696">
        <f t="shared" si="14"/>
        <v>-19496</v>
      </c>
      <c r="AV9" s="1892">
        <f t="shared" si="5"/>
        <v>30586.300000000003</v>
      </c>
      <c r="AW9" s="1725">
        <f t="shared" si="8"/>
        <v>200000</v>
      </c>
      <c r="AX9" s="1700">
        <f t="shared" si="2"/>
        <v>204499.87</v>
      </c>
      <c r="AY9" s="1701">
        <f>E9-AX9</f>
        <v>-4499.8699999999953</v>
      </c>
    </row>
    <row r="10" spans="1:62" ht="19.5" hidden="1" customHeight="1" x14ac:dyDescent="0.35">
      <c r="A10" s="1668">
        <v>0</v>
      </c>
      <c r="B10" s="1669" t="s">
        <v>626</v>
      </c>
      <c r="C10" s="1669"/>
      <c r="D10" s="1669"/>
      <c r="E10" s="1852"/>
      <c r="F10" s="1893">
        <f t="shared" si="15"/>
        <v>0</v>
      </c>
      <c r="G10" s="1882"/>
      <c r="H10" s="1879">
        <f t="shared" si="0"/>
        <v>0</v>
      </c>
      <c r="I10" s="1796"/>
      <c r="J10" s="1879"/>
      <c r="K10" s="1879"/>
      <c r="L10" s="1698">
        <v>0</v>
      </c>
      <c r="M10" s="1699">
        <f>'[10]15ค่าวัสดุคอมฯ'!$I$4</f>
        <v>0</v>
      </c>
      <c r="N10" s="1698"/>
      <c r="O10" s="1699">
        <f>'[10]15ค่าวัสดุคอมฯ'!$I$5</f>
        <v>32003.7</v>
      </c>
      <c r="P10" s="1698">
        <v>25000</v>
      </c>
      <c r="Q10" s="1699">
        <f>'[10]15ค่าวัสดุคอมฯ'!$I$6</f>
        <v>0</v>
      </c>
      <c r="R10" s="1725">
        <f t="shared" si="9"/>
        <v>25000</v>
      </c>
      <c r="S10" s="1729">
        <f t="shared" si="10"/>
        <v>32003.7</v>
      </c>
      <c r="T10" s="1696">
        <f t="shared" si="11"/>
        <v>-7003.7000000000007</v>
      </c>
      <c r="U10" s="1698">
        <v>0</v>
      </c>
      <c r="V10" s="1699">
        <f>'[10]15ค่าวัสดุคอมฯ'!$I$7</f>
        <v>0</v>
      </c>
      <c r="W10" s="1698">
        <v>0</v>
      </c>
      <c r="X10" s="1699">
        <f>'[10]15ค่าวัสดุคอมฯ'!$I$8</f>
        <v>0</v>
      </c>
      <c r="Y10" s="1698">
        <v>25000</v>
      </c>
      <c r="Z10" s="1699">
        <f>'[10]15ค่าวัสดุคอมฯ'!$I$9</f>
        <v>0</v>
      </c>
      <c r="AA10" s="1725">
        <f t="shared" si="12"/>
        <v>25000</v>
      </c>
      <c r="AB10" s="1729">
        <f t="shared" si="6"/>
        <v>0</v>
      </c>
      <c r="AC10" s="1696">
        <f t="shared" si="7"/>
        <v>25000</v>
      </c>
      <c r="AD10" s="1698">
        <v>0</v>
      </c>
      <c r="AE10" s="1699">
        <f>'[10]15ค่าวัสดุคอมฯ'!$I$10</f>
        <v>64788.5</v>
      </c>
      <c r="AF10" s="1698">
        <v>0</v>
      </c>
      <c r="AG10" s="1699">
        <f>'[10]15ค่าวัสดุคอมฯ'!$I$11</f>
        <v>0</v>
      </c>
      <c r="AH10" s="1698">
        <v>25000</v>
      </c>
      <c r="AI10" s="1699">
        <f>'[10]15ค่าวัสดุคอมฯ'!$I$12</f>
        <v>0</v>
      </c>
      <c r="AJ10" s="1725">
        <f>SUM(AD10+AF10+AH10)</f>
        <v>25000</v>
      </c>
      <c r="AK10" s="1729">
        <f t="shared" si="3"/>
        <v>64788.5</v>
      </c>
      <c r="AL10" s="1696">
        <f t="shared" si="13"/>
        <v>-39788.5</v>
      </c>
      <c r="AM10" s="1698">
        <v>0</v>
      </c>
      <c r="AN10" s="1699">
        <f>'[10]15ค่าวัสดุคอมฯ'!$I$13</f>
        <v>0</v>
      </c>
      <c r="AO10" s="1698">
        <v>0</v>
      </c>
      <c r="AP10" s="1699">
        <f>'[10]15ค่าวัสดุคอมฯ'!$I$14</f>
        <v>12369.2</v>
      </c>
      <c r="AQ10" s="1698">
        <v>25000</v>
      </c>
      <c r="AR10" s="1699">
        <f>'[10]15ค่าวัสดุคอมฯ'!$I$15</f>
        <v>48955.8</v>
      </c>
      <c r="AS10" s="1725">
        <f t="shared" si="4"/>
        <v>25000</v>
      </c>
      <c r="AT10" s="1729">
        <f t="shared" si="4"/>
        <v>61325</v>
      </c>
      <c r="AU10" s="1696">
        <f t="shared" si="14"/>
        <v>-36325</v>
      </c>
      <c r="AV10" s="1892">
        <f t="shared" si="5"/>
        <v>-32003.7</v>
      </c>
      <c r="AW10" s="1725">
        <f t="shared" si="8"/>
        <v>100000</v>
      </c>
      <c r="AX10" s="1700">
        <f t="shared" si="2"/>
        <v>158117.20000000001</v>
      </c>
      <c r="AY10" s="1701">
        <f>E10-AX10</f>
        <v>-158117.20000000001</v>
      </c>
    </row>
    <row r="11" spans="1:62" ht="19.5" customHeight="1" x14ac:dyDescent="0.35">
      <c r="A11" s="1668"/>
      <c r="B11" s="1669" t="s">
        <v>648</v>
      </c>
      <c r="C11" s="1669"/>
      <c r="D11" s="1669"/>
      <c r="E11" s="1852">
        <f>200000-29400</f>
        <v>170600</v>
      </c>
      <c r="F11" s="1893">
        <f t="shared" si="15"/>
        <v>85300</v>
      </c>
      <c r="G11" s="1882"/>
      <c r="H11" s="1879">
        <f t="shared" si="0"/>
        <v>85300</v>
      </c>
      <c r="I11" s="1796"/>
      <c r="J11" s="1879"/>
      <c r="K11" s="1879"/>
      <c r="L11" s="1698">
        <v>15000</v>
      </c>
      <c r="M11" s="1699">
        <f>'[9]2.รายการ คชจ.ส่วนกลาง'!$BB$4</f>
        <v>3000</v>
      </c>
      <c r="N11" s="1698">
        <v>20000</v>
      </c>
      <c r="O11" s="1699">
        <f>'[9]2.รายการ คชจ.ส่วนกลาง'!$BB$5</f>
        <v>8000</v>
      </c>
      <c r="P11" s="1698">
        <v>15000</v>
      </c>
      <c r="Q11" s="1699">
        <f>'[9]2.รายการ คชจ.ส่วนกลาง'!$BB$6</f>
        <v>6900</v>
      </c>
      <c r="R11" s="1725">
        <f t="shared" si="9"/>
        <v>50000</v>
      </c>
      <c r="S11" s="1729">
        <f t="shared" si="10"/>
        <v>17900</v>
      </c>
      <c r="T11" s="1696">
        <f t="shared" si="11"/>
        <v>32100</v>
      </c>
      <c r="U11" s="1698">
        <v>15000</v>
      </c>
      <c r="V11" s="1699">
        <f>'[9]2.รายการ คชจ.ส่วนกลาง'!$BB$7</f>
        <v>300</v>
      </c>
      <c r="W11" s="1698">
        <v>15000</v>
      </c>
      <c r="X11" s="1699">
        <f>'[9]2.รายการ คชจ.ส่วนกลาง'!$BB$8</f>
        <v>3000</v>
      </c>
      <c r="Y11" s="1698">
        <v>15000</v>
      </c>
      <c r="Z11" s="1699">
        <f>'[9]2.รายการ คชจ.ส่วนกลาง'!$BB$9</f>
        <v>2990</v>
      </c>
      <c r="AA11" s="1725">
        <f t="shared" si="12"/>
        <v>45000</v>
      </c>
      <c r="AB11" s="1729">
        <f t="shared" si="6"/>
        <v>6290</v>
      </c>
      <c r="AC11" s="1696">
        <f t="shared" si="7"/>
        <v>38710</v>
      </c>
      <c r="AD11" s="1698">
        <v>15000</v>
      </c>
      <c r="AE11" s="1699">
        <f>'[9]2.รายการ คชจ.ส่วนกลาง'!$BB$10</f>
        <v>1500</v>
      </c>
      <c r="AF11" s="1698">
        <v>15000</v>
      </c>
      <c r="AG11" s="1699">
        <f>'[9]2.รายการ คชจ.ส่วนกลาง'!$BB$11</f>
        <v>1800</v>
      </c>
      <c r="AH11" s="1698">
        <v>20000</v>
      </c>
      <c r="AI11" s="1699">
        <f>'[9]2.รายการ คชจ.ส่วนกลาง'!$BB$12</f>
        <v>1300</v>
      </c>
      <c r="AJ11" s="1725">
        <f>SUM(AD11+AF11+AH11)</f>
        <v>50000</v>
      </c>
      <c r="AK11" s="1729">
        <f t="shared" si="3"/>
        <v>4600</v>
      </c>
      <c r="AL11" s="1696">
        <f t="shared" si="13"/>
        <v>45400</v>
      </c>
      <c r="AM11" s="1698">
        <v>15000</v>
      </c>
      <c r="AN11" s="1699">
        <f>'[9]2.รายการ คชจ.ส่วนกลาง'!$BB$13</f>
        <v>1800</v>
      </c>
      <c r="AO11" s="1698">
        <v>20000</v>
      </c>
      <c r="AP11" s="1699">
        <f>'[9]2.รายการ คชจ.ส่วนกลาง'!$BB$14</f>
        <v>3340</v>
      </c>
      <c r="AQ11" s="1698">
        <v>20000</v>
      </c>
      <c r="AR11" s="1699">
        <f>'[9]2.รายการ คชจ.ส่วนกลาง'!$BB$15</f>
        <v>300</v>
      </c>
      <c r="AS11" s="1725">
        <f t="shared" si="4"/>
        <v>55000</v>
      </c>
      <c r="AT11" s="1729">
        <f t="shared" si="4"/>
        <v>5440</v>
      </c>
      <c r="AU11" s="1696">
        <f t="shared" si="14"/>
        <v>49560</v>
      </c>
      <c r="AV11" s="1892">
        <f t="shared" si="5"/>
        <v>61110</v>
      </c>
      <c r="AW11" s="1725">
        <f t="shared" si="8"/>
        <v>200000</v>
      </c>
      <c r="AX11" s="1700">
        <f t="shared" si="2"/>
        <v>34230</v>
      </c>
      <c r="AY11" s="1701">
        <f>E11-AX11</f>
        <v>136370</v>
      </c>
    </row>
    <row r="12" spans="1:62" ht="19.5" customHeight="1" x14ac:dyDescent="0.35">
      <c r="A12" s="1668"/>
      <c r="B12" s="1669" t="s">
        <v>649</v>
      </c>
      <c r="C12" s="1669"/>
      <c r="D12" s="1669"/>
      <c r="E12" s="1852">
        <f>5000+70000</f>
        <v>75000</v>
      </c>
      <c r="F12" s="1893">
        <f t="shared" si="15"/>
        <v>37500</v>
      </c>
      <c r="G12" s="1882"/>
      <c r="H12" s="1879">
        <f t="shared" si="0"/>
        <v>37500</v>
      </c>
      <c r="I12" s="1796"/>
      <c r="J12" s="1879"/>
      <c r="K12" s="1879"/>
      <c r="L12" s="1698">
        <v>6250</v>
      </c>
      <c r="M12" s="1699">
        <f>'[9]2.รายการ คชจ.ส่วนกลาง'!$BA$4+'[9]1.รายการผูกพัน (สัญญาทั้งปี)'!$AT$4</f>
        <v>6600</v>
      </c>
      <c r="N12" s="1698">
        <v>6250</v>
      </c>
      <c r="O12" s="1703">
        <f>'[9]1.รายการผูกพัน (สัญญาทั้งปี)'!$AT$5+'[9]2.รายการ คชจ.ส่วนกลาง'!$BA$5</f>
        <v>3663</v>
      </c>
      <c r="P12" s="1698">
        <v>6250</v>
      </c>
      <c r="Q12" s="1699">
        <f>'[9]2.รายการ คชจ.ส่วนกลาง'!$BA$6+'[9]1.รายการผูกพัน (สัญญาทั้งปี)'!$AT$6</f>
        <v>7227</v>
      </c>
      <c r="R12" s="1725">
        <f t="shared" si="9"/>
        <v>18750</v>
      </c>
      <c r="S12" s="1729">
        <f t="shared" si="10"/>
        <v>17490</v>
      </c>
      <c r="T12" s="1696">
        <f t="shared" si="11"/>
        <v>1260</v>
      </c>
      <c r="U12" s="1698">
        <v>6250</v>
      </c>
      <c r="V12" s="1699">
        <f>'[9]2.รายการ คชจ.ส่วนกลาง'!$BA$7+'[9]1.รายการผูกพัน (สัญญาทั้งปี)'!$AT$7</f>
        <v>6732</v>
      </c>
      <c r="W12" s="1698">
        <v>6250</v>
      </c>
      <c r="X12" s="1699">
        <f>'[9]2.รายการ คชจ.ส่วนกลาง'!$BA$8+'[9]1.รายการผูกพัน (สัญญาทั้งปี)'!$AT$8</f>
        <v>7392</v>
      </c>
      <c r="Y12" s="1698">
        <v>6250</v>
      </c>
      <c r="Z12" s="1699">
        <f>'[9]2.รายการ คชจ.ส่วนกลาง'!$BA$9+'[9]1.รายการผูกพัน (สัญญาทั้งปี)'!$AT$9</f>
        <v>11616</v>
      </c>
      <c r="AA12" s="1725">
        <f t="shared" si="12"/>
        <v>18750</v>
      </c>
      <c r="AB12" s="1729">
        <f t="shared" si="6"/>
        <v>25740</v>
      </c>
      <c r="AC12" s="1696">
        <f t="shared" si="7"/>
        <v>-6990</v>
      </c>
      <c r="AD12" s="1698">
        <v>6250</v>
      </c>
      <c r="AE12" s="1699">
        <f>'[9]2.รายการ คชจ.ส่วนกลาง'!$BA$10+'[9]1.รายการผูกพัน (สัญญาทั้งปี)'!$AT$10</f>
        <v>5280</v>
      </c>
      <c r="AF12" s="1698">
        <v>6250</v>
      </c>
      <c r="AG12" s="1699">
        <f>'[9]2.รายการ คชจ.ส่วนกลาง'!$BA$11+'[9]1.รายการผูกพัน (สัญญาทั้งปี)'!$AT$11</f>
        <v>6336</v>
      </c>
      <c r="AH12" s="1698">
        <v>6250</v>
      </c>
      <c r="AI12" s="1699">
        <f>'[9]2.รายการ คชจ.ส่วนกลาง'!$BA$12+'[9]1.รายการผูกพัน (สัญญาทั้งปี)'!$AT$12</f>
        <v>8013</v>
      </c>
      <c r="AJ12" s="1725">
        <f>SUM(AD12+AF12+AH12)</f>
        <v>18750</v>
      </c>
      <c r="AK12" s="1729">
        <f t="shared" si="3"/>
        <v>19629</v>
      </c>
      <c r="AL12" s="1696">
        <f t="shared" si="13"/>
        <v>-879</v>
      </c>
      <c r="AM12" s="1698">
        <v>6250</v>
      </c>
      <c r="AN12" s="1699">
        <f>'[9]2.รายการ คชจ.ส่วนกลาง'!$BA$13+'[9]1.รายการผูกพัน (สัญญาทั้งปี)'!$AT$13</f>
        <v>7348</v>
      </c>
      <c r="AO12" s="1698">
        <v>6250</v>
      </c>
      <c r="AP12" s="1699">
        <f>'[9]2.รายการ คชจ.ส่วนกลาง'!$BA$14+'[9]1.รายการผูกพัน (สัญญาทั้งปี)'!$AT$14</f>
        <v>7475</v>
      </c>
      <c r="AQ12" s="1698">
        <v>6250</v>
      </c>
      <c r="AR12" s="1699">
        <f>'[9]2.รายการ คชจ.ส่วนกลาง'!$BA$15+'[9]1.รายการผูกพัน (สัญญาทั้งปี)'!$AT$15</f>
        <v>7921</v>
      </c>
      <c r="AS12" s="1725">
        <f t="shared" si="4"/>
        <v>18750</v>
      </c>
      <c r="AT12" s="1729">
        <f t="shared" si="4"/>
        <v>22744</v>
      </c>
      <c r="AU12" s="1696">
        <f t="shared" si="14"/>
        <v>-3994</v>
      </c>
      <c r="AV12" s="1892">
        <f>H12-S12-AB12</f>
        <v>-5730</v>
      </c>
      <c r="AW12" s="1725">
        <f t="shared" si="8"/>
        <v>75000</v>
      </c>
      <c r="AX12" s="1700">
        <f t="shared" si="2"/>
        <v>85603</v>
      </c>
      <c r="AY12" s="1701">
        <f>E12-AX12</f>
        <v>-10603</v>
      </c>
    </row>
    <row r="13" spans="1:62" ht="22.5" customHeight="1" x14ac:dyDescent="0.3">
      <c r="A13" s="1670" t="s">
        <v>627</v>
      </c>
      <c r="B13" s="1671"/>
      <c r="C13" s="1671"/>
      <c r="D13" s="1669"/>
      <c r="E13" s="1854">
        <f>SUM(E14:E23)</f>
        <v>3149928</v>
      </c>
      <c r="F13" s="1909">
        <f t="shared" si="15"/>
        <v>1574964</v>
      </c>
      <c r="G13" s="1883"/>
      <c r="H13" s="1771">
        <f t="shared" si="0"/>
        <v>1574964</v>
      </c>
      <c r="I13" s="1769"/>
      <c r="J13" s="1771"/>
      <c r="K13" s="1771"/>
      <c r="L13" s="1772">
        <f t="shared" ref="L13:S13" si="16">SUM(L14:L23)</f>
        <v>77387</v>
      </c>
      <c r="M13" s="1773" t="e">
        <f t="shared" si="16"/>
        <v>#REF!</v>
      </c>
      <c r="N13" s="1772">
        <f t="shared" si="16"/>
        <v>118425</v>
      </c>
      <c r="O13" s="1773" t="e">
        <f t="shared" si="16"/>
        <v>#REF!</v>
      </c>
      <c r="P13" s="1772">
        <f t="shared" si="16"/>
        <v>217410</v>
      </c>
      <c r="Q13" s="1773" t="e">
        <f t="shared" si="16"/>
        <v>#REF!</v>
      </c>
      <c r="R13" s="1767">
        <f>SUM(R14:R23)</f>
        <v>413222</v>
      </c>
      <c r="S13" s="1768" t="e">
        <f t="shared" si="16"/>
        <v>#REF!</v>
      </c>
      <c r="T13" s="1769" t="e">
        <f t="shared" si="11"/>
        <v>#REF!</v>
      </c>
      <c r="U13" s="1772">
        <f t="shared" ref="U13:AB13" si="17">SUM(U14:U23)</f>
        <v>121300</v>
      </c>
      <c r="V13" s="1773" t="e">
        <f t="shared" si="17"/>
        <v>#REF!</v>
      </c>
      <c r="W13" s="1772">
        <f t="shared" si="17"/>
        <v>183650</v>
      </c>
      <c r="X13" s="1773" t="e">
        <f t="shared" si="17"/>
        <v>#REF!</v>
      </c>
      <c r="Y13" s="1772" t="e">
        <f t="shared" si="17"/>
        <v>#REF!</v>
      </c>
      <c r="Z13" s="1773" t="e">
        <f t="shared" si="17"/>
        <v>#REF!</v>
      </c>
      <c r="AA13" s="1767" t="e">
        <f t="shared" si="17"/>
        <v>#REF!</v>
      </c>
      <c r="AB13" s="1768" t="e">
        <f t="shared" si="17"/>
        <v>#REF!</v>
      </c>
      <c r="AC13" s="1769" t="e">
        <f t="shared" si="7"/>
        <v>#REF!</v>
      </c>
      <c r="AD13" s="1772" t="e">
        <f t="shared" ref="AD13:AK13" si="18">SUM(AD14:AD23)</f>
        <v>#REF!</v>
      </c>
      <c r="AE13" s="1773" t="e">
        <f t="shared" si="18"/>
        <v>#REF!</v>
      </c>
      <c r="AF13" s="1772" t="e">
        <f t="shared" si="18"/>
        <v>#REF!</v>
      </c>
      <c r="AG13" s="1773" t="e">
        <f t="shared" si="18"/>
        <v>#REF!</v>
      </c>
      <c r="AH13" s="1772" t="e">
        <f t="shared" si="18"/>
        <v>#REF!</v>
      </c>
      <c r="AI13" s="1773" t="e">
        <f t="shared" si="18"/>
        <v>#REF!</v>
      </c>
      <c r="AJ13" s="1767" t="e">
        <f t="shared" si="18"/>
        <v>#REF!</v>
      </c>
      <c r="AK13" s="1768" t="e">
        <f t="shared" si="18"/>
        <v>#REF!</v>
      </c>
      <c r="AL13" s="1769" t="e">
        <f t="shared" si="13"/>
        <v>#REF!</v>
      </c>
      <c r="AM13" s="1772" t="e">
        <f t="shared" ref="AM13:AT13" si="19">SUM(AM14:AM23)</f>
        <v>#REF!</v>
      </c>
      <c r="AN13" s="1773" t="e">
        <f t="shared" si="19"/>
        <v>#REF!</v>
      </c>
      <c r="AO13" s="1772" t="e">
        <f t="shared" si="19"/>
        <v>#REF!</v>
      </c>
      <c r="AP13" s="1773" t="e">
        <f t="shared" si="19"/>
        <v>#REF!</v>
      </c>
      <c r="AQ13" s="1772" t="e">
        <f t="shared" si="19"/>
        <v>#REF!</v>
      </c>
      <c r="AR13" s="1773" t="e">
        <f t="shared" si="19"/>
        <v>#REF!</v>
      </c>
      <c r="AS13" s="1767" t="e">
        <f t="shared" si="19"/>
        <v>#REF!</v>
      </c>
      <c r="AT13" s="1768" t="e">
        <f t="shared" si="19"/>
        <v>#REF!</v>
      </c>
      <c r="AU13" s="1769" t="e">
        <f t="shared" si="14"/>
        <v>#REF!</v>
      </c>
      <c r="AV13" s="1890" t="e">
        <f t="shared" si="5"/>
        <v>#REF!</v>
      </c>
      <c r="AW13" s="1767" t="e">
        <f t="shared" si="8"/>
        <v>#REF!</v>
      </c>
      <c r="AX13" s="1770" t="e">
        <f t="shared" si="2"/>
        <v>#REF!</v>
      </c>
      <c r="AY13" s="1771" t="e">
        <f>SUM(AY14:AY23)</f>
        <v>#REF!</v>
      </c>
      <c r="AZ13" s="473" t="e">
        <f>AW13-E13</f>
        <v>#REF!</v>
      </c>
      <c r="BA13" s="2004" t="s">
        <v>749</v>
      </c>
      <c r="BB13" s="1998" t="s">
        <v>751</v>
      </c>
      <c r="BC13" s="383" t="s">
        <v>750</v>
      </c>
      <c r="BD13" s="2010" t="s">
        <v>754</v>
      </c>
      <c r="BE13" s="2001" t="s">
        <v>752</v>
      </c>
      <c r="BF13" s="2007" t="s">
        <v>753</v>
      </c>
      <c r="BG13" s="385" t="s">
        <v>757</v>
      </c>
      <c r="BH13" s="2011" t="s">
        <v>756</v>
      </c>
      <c r="BI13" s="555" t="s">
        <v>755</v>
      </c>
      <c r="BJ13" s="366" t="s">
        <v>758</v>
      </c>
    </row>
    <row r="14" spans="1:62" ht="20.25" customHeight="1" x14ac:dyDescent="0.3">
      <c r="A14" s="1668"/>
      <c r="B14" s="1672" t="s">
        <v>6</v>
      </c>
      <c r="C14" s="1673"/>
      <c r="D14" s="1673"/>
      <c r="E14" s="1855">
        <f>775400-150000-100400-200000-70000</f>
        <v>255000</v>
      </c>
      <c r="F14" s="1908" t="e">
        <f>R14+AA14</f>
        <v>#REF!</v>
      </c>
      <c r="G14" s="1881"/>
      <c r="H14" s="1894" t="e">
        <f>F14-G14</f>
        <v>#REF!</v>
      </c>
      <c r="I14" s="1923"/>
      <c r="J14" s="1894"/>
      <c r="K14" s="1894"/>
      <c r="L14" s="1710">
        <f>20600-10400-7723</f>
        <v>2477</v>
      </c>
      <c r="M14" s="1711">
        <f>'[11] สรุป ฝบท. รายเดือน'!$C$4</f>
        <v>2295</v>
      </c>
      <c r="N14" s="1710">
        <f>40600-15000</f>
        <v>25600</v>
      </c>
      <c r="O14" s="1711">
        <f>'[11] สรุป ฝบท. รายเดือน'!$C$5</f>
        <v>35304.089999999997</v>
      </c>
      <c r="P14" s="1710">
        <f>120600-25000-31200-18100</f>
        <v>46300</v>
      </c>
      <c r="Q14" s="1711">
        <f>'[11] สรุป ฝบท. รายเดือน'!$C$6</f>
        <v>45097.440000000002</v>
      </c>
      <c r="R14" s="1724">
        <f>SUM(L14+N14+P14)</f>
        <v>74377</v>
      </c>
      <c r="S14" s="1728">
        <f>SUM(M14+O14+Q14)</f>
        <v>82696.53</v>
      </c>
      <c r="T14" s="1712">
        <f t="shared" si="11"/>
        <v>-8319.5299999999988</v>
      </c>
      <c r="U14" s="1710">
        <f>40600-35000</f>
        <v>5600</v>
      </c>
      <c r="V14" s="1711">
        <f>'[11] สรุป ฝบท. รายเดือน'!$C$7</f>
        <v>3880</v>
      </c>
      <c r="W14" s="1710">
        <f>40600-15000</f>
        <v>25600</v>
      </c>
      <c r="X14" s="1711">
        <f>'[11] สรุป ฝบท. รายเดือน'!$C$8</f>
        <v>26550.2</v>
      </c>
      <c r="Y14" s="1710" t="e">
        <f>#REF!-20000</f>
        <v>#REF!</v>
      </c>
      <c r="Z14" s="1711">
        <f>'[11] สรุป ฝบท. รายเดือน'!$C$9</f>
        <v>13756.29</v>
      </c>
      <c r="AA14" s="1724" t="e">
        <f>SUM(U14+W14+Y14)</f>
        <v>#REF!</v>
      </c>
      <c r="AB14" s="1728">
        <f t="shared" si="6"/>
        <v>44186.490000000005</v>
      </c>
      <c r="AC14" s="1712" t="e">
        <f t="shared" si="7"/>
        <v>#REF!</v>
      </c>
      <c r="AD14" s="1710" t="e">
        <f>#REF!</f>
        <v>#REF!</v>
      </c>
      <c r="AE14" s="1711">
        <f>'[11] สรุป ฝบท. รายเดือน'!$C$10</f>
        <v>77020.649999999994</v>
      </c>
      <c r="AF14" s="1710" t="e">
        <f>#REF!</f>
        <v>#REF!</v>
      </c>
      <c r="AG14" s="1711">
        <f>'[11] สรุป ฝบท. รายเดือน'!$C$11</f>
        <v>14507.5</v>
      </c>
      <c r="AH14" s="1710" t="e">
        <f>#REF!-20000</f>
        <v>#REF!</v>
      </c>
      <c r="AI14" s="1711">
        <f>'[11] สรุป ฝบท. รายเดือน'!$C$12</f>
        <v>40480.49</v>
      </c>
      <c r="AJ14" s="1724" t="e">
        <f>SUM(AD14+AF14+AH14)</f>
        <v>#REF!</v>
      </c>
      <c r="AK14" s="1728">
        <f t="shared" ref="AK14:AK61" si="20">SUM(AE14+AG14+AI14)</f>
        <v>132008.63999999998</v>
      </c>
      <c r="AL14" s="1712" t="e">
        <f t="shared" ref="AL14:AL61" si="21">AJ14-AK14</f>
        <v>#REF!</v>
      </c>
      <c r="AM14" s="1710" t="e">
        <f>#REF!-15000</f>
        <v>#REF!</v>
      </c>
      <c r="AN14" s="1711">
        <f>'[11] สรุป ฝบท. รายเดือน'!$C$13</f>
        <v>22526.33</v>
      </c>
      <c r="AO14" s="1710" t="e">
        <f>#REF!-33000</f>
        <v>#REF!</v>
      </c>
      <c r="AP14" s="1711">
        <f>'[11] สรุป ฝบท. รายเดือน'!$C$14</f>
        <v>94566.53</v>
      </c>
      <c r="AQ14" s="1710" t="e">
        <f>#REF!</f>
        <v>#REF!</v>
      </c>
      <c r="AR14" s="1711">
        <f>'[11] สรุป ฝบท. รายเดือน'!$C$15</f>
        <v>416257.7</v>
      </c>
      <c r="AS14" s="1724" t="e">
        <f>SUM(AM14+AO14+AQ14)</f>
        <v>#REF!</v>
      </c>
      <c r="AT14" s="1728">
        <f t="shared" ref="AT14:AT61" si="22">SUM(AN14+AP14+AR14)</f>
        <v>533350.56000000006</v>
      </c>
      <c r="AU14" s="1712" t="e">
        <f t="shared" ref="AU14:AU61" si="23">AS14-AT14</f>
        <v>#REF!</v>
      </c>
      <c r="AV14" s="1786" t="e">
        <f t="shared" si="5"/>
        <v>#REF!</v>
      </c>
      <c r="AW14" s="1724" t="e">
        <f>G14+R14+AA14+AJ14+AS14</f>
        <v>#REF!</v>
      </c>
      <c r="AX14" s="1713">
        <f t="shared" si="2"/>
        <v>792242.22</v>
      </c>
      <c r="AY14" s="1714">
        <f t="shared" ref="AY14:AY23" si="24">E14-AX14</f>
        <v>-537242.22</v>
      </c>
      <c r="AZ14" s="1993"/>
      <c r="BA14" s="2005" t="e">
        <f t="shared" ref="BA14:BA23" si="25">Y14+AD14+AF14+AH14+AM14+AO14+AQ14</f>
        <v>#REF!</v>
      </c>
      <c r="BB14" s="1999">
        <f t="shared" ref="BB14:BB23" si="26">L14+N14+P14+U14+W14</f>
        <v>105577</v>
      </c>
      <c r="BC14" s="1995" t="e">
        <f t="shared" ref="BC14:BC24" si="27">BA14+BB14</f>
        <v>#REF!</v>
      </c>
      <c r="BD14" s="827" t="e">
        <f t="shared" ref="BD14:BD23" si="28">E14-AW14</f>
        <v>#REF!</v>
      </c>
      <c r="BE14" s="2002">
        <f t="shared" ref="BE14:BE23" si="29">M14+O14+Q14+V14+X14</f>
        <v>113126.73</v>
      </c>
      <c r="BF14" s="2008">
        <f t="shared" ref="BF14:BF23" si="30">Z14+AE14+AG14+AI14+AN14+AP14+AR14</f>
        <v>679115.49</v>
      </c>
      <c r="BG14" s="1992">
        <f>BE14+BF14</f>
        <v>792242.22</v>
      </c>
      <c r="BH14" s="2012">
        <f>BB14-BE14</f>
        <v>-7549.7299999999959</v>
      </c>
      <c r="BI14" s="1995" t="e">
        <f t="shared" ref="BI14:BI24" si="31">BA14-BF14</f>
        <v>#REF!</v>
      </c>
      <c r="BJ14" s="1992" t="e">
        <f>BC14-BE14-BF14</f>
        <v>#REF!</v>
      </c>
    </row>
    <row r="15" spans="1:62" ht="20.25" customHeight="1" x14ac:dyDescent="0.3">
      <c r="A15" s="1668"/>
      <c r="B15" s="1674" t="s">
        <v>2</v>
      </c>
      <c r="C15" s="1675"/>
      <c r="D15" s="1675"/>
      <c r="E15" s="1856">
        <f>2000+3000+3000+2000-4000+84400</f>
        <v>90400</v>
      </c>
      <c r="F15" s="1893" t="e">
        <f t="shared" ref="F15:F23" si="32">R15+AA15</f>
        <v>#REF!</v>
      </c>
      <c r="G15" s="1882"/>
      <c r="H15" s="1879" t="e">
        <f t="shared" si="0"/>
        <v>#REF!</v>
      </c>
      <c r="I15" s="1796"/>
      <c r="J15" s="1879"/>
      <c r="K15" s="1879"/>
      <c r="L15" s="1698">
        <v>0</v>
      </c>
      <c r="M15" s="1699" t="e">
        <f>#REF!</f>
        <v>#REF!</v>
      </c>
      <c r="N15" s="1698">
        <v>600</v>
      </c>
      <c r="O15" s="1699" t="e">
        <f>#REF!</f>
        <v>#REF!</v>
      </c>
      <c r="P15" s="1698">
        <v>600</v>
      </c>
      <c r="Q15" s="1699" t="e">
        <f>#REF!</f>
        <v>#REF!</v>
      </c>
      <c r="R15" s="1725">
        <f t="shared" ref="R15:R23" si="33">SUM(L15+N15+P15)</f>
        <v>1200</v>
      </c>
      <c r="S15" s="1729" t="e">
        <f t="shared" si="10"/>
        <v>#REF!</v>
      </c>
      <c r="T15" s="1696" t="e">
        <f t="shared" si="11"/>
        <v>#REF!</v>
      </c>
      <c r="U15" s="1698">
        <v>600</v>
      </c>
      <c r="V15" s="1699" t="e">
        <f>#REF!</f>
        <v>#REF!</v>
      </c>
      <c r="W15" s="1698">
        <v>600</v>
      </c>
      <c r="X15" s="1699" t="e">
        <f>#REF!</f>
        <v>#REF!</v>
      </c>
      <c r="Y15" s="1698" t="e">
        <f>#REF!</f>
        <v>#REF!</v>
      </c>
      <c r="Z15" s="1699" t="e">
        <f>#REF!</f>
        <v>#REF!</v>
      </c>
      <c r="AA15" s="1725" t="e">
        <f>SUM(U15+W15+Y15)</f>
        <v>#REF!</v>
      </c>
      <c r="AB15" s="1729" t="e">
        <f t="shared" si="6"/>
        <v>#REF!</v>
      </c>
      <c r="AC15" s="1696" t="e">
        <f t="shared" si="7"/>
        <v>#REF!</v>
      </c>
      <c r="AD15" s="1698" t="e">
        <f>#REF!</f>
        <v>#REF!</v>
      </c>
      <c r="AE15" s="1699" t="e">
        <f>#REF!</f>
        <v>#REF!</v>
      </c>
      <c r="AF15" s="1698" t="e">
        <f>#REF!</f>
        <v>#REF!</v>
      </c>
      <c r="AG15" s="1699" t="e">
        <f>#REF!</f>
        <v>#REF!</v>
      </c>
      <c r="AH15" s="1698" t="e">
        <f>#REF!</f>
        <v>#REF!</v>
      </c>
      <c r="AI15" s="1699" t="e">
        <f>#REF!</f>
        <v>#REF!</v>
      </c>
      <c r="AJ15" s="1725" t="e">
        <f>SUM(AD15+AF15+AH15)</f>
        <v>#REF!</v>
      </c>
      <c r="AK15" s="1729" t="e">
        <f t="shared" si="20"/>
        <v>#REF!</v>
      </c>
      <c r="AL15" s="1696" t="e">
        <f t="shared" si="21"/>
        <v>#REF!</v>
      </c>
      <c r="AM15" s="1698" t="e">
        <f>#REF!</f>
        <v>#REF!</v>
      </c>
      <c r="AN15" s="1699" t="e">
        <f>#REF!</f>
        <v>#REF!</v>
      </c>
      <c r="AO15" s="1698" t="e">
        <f>#REF!</f>
        <v>#REF!</v>
      </c>
      <c r="AP15" s="1699" t="e">
        <f>#REF!</f>
        <v>#REF!</v>
      </c>
      <c r="AQ15" s="1698" t="e">
        <f>#REF!</f>
        <v>#REF!</v>
      </c>
      <c r="AR15" s="1699" t="e">
        <f>#REF!</f>
        <v>#REF!</v>
      </c>
      <c r="AS15" s="1725" t="e">
        <f>SUM(AM15+AO15+AQ15)</f>
        <v>#REF!</v>
      </c>
      <c r="AT15" s="1729" t="e">
        <f t="shared" si="22"/>
        <v>#REF!</v>
      </c>
      <c r="AU15" s="1696" t="e">
        <f t="shared" si="23"/>
        <v>#REF!</v>
      </c>
      <c r="AV15" s="1829" t="e">
        <f t="shared" si="5"/>
        <v>#REF!</v>
      </c>
      <c r="AW15" s="1725" t="e">
        <f t="shared" si="8"/>
        <v>#REF!</v>
      </c>
      <c r="AX15" s="1700" t="e">
        <f t="shared" si="2"/>
        <v>#REF!</v>
      </c>
      <c r="AY15" s="1701" t="e">
        <f t="shared" si="24"/>
        <v>#REF!</v>
      </c>
      <c r="AZ15" s="473"/>
      <c r="BA15" s="2005" t="e">
        <f t="shared" si="25"/>
        <v>#REF!</v>
      </c>
      <c r="BB15" s="1999">
        <f t="shared" si="26"/>
        <v>2400</v>
      </c>
      <c r="BC15" s="1995" t="e">
        <f t="shared" si="27"/>
        <v>#REF!</v>
      </c>
      <c r="BD15" s="827" t="e">
        <f t="shared" si="28"/>
        <v>#REF!</v>
      </c>
      <c r="BE15" s="2002" t="e">
        <f t="shared" si="29"/>
        <v>#REF!</v>
      </c>
      <c r="BF15" s="2008" t="e">
        <f t="shared" si="30"/>
        <v>#REF!</v>
      </c>
      <c r="BG15" s="1992" t="e">
        <f t="shared" ref="BG15:BG23" si="34">BE15+BF15</f>
        <v>#REF!</v>
      </c>
      <c r="BH15" s="2012" t="e">
        <f t="shared" ref="BH15:BH24" si="35">BB15-BE15</f>
        <v>#REF!</v>
      </c>
      <c r="BI15" s="1995" t="e">
        <f t="shared" si="31"/>
        <v>#REF!</v>
      </c>
      <c r="BJ15" s="1992" t="e">
        <f t="shared" ref="BJ15:BJ23" si="36">BC15-BE15-BF15</f>
        <v>#REF!</v>
      </c>
    </row>
    <row r="16" spans="1:62" ht="20.25" customHeight="1" x14ac:dyDescent="0.3">
      <c r="A16" s="1676"/>
      <c r="B16" s="1674" t="s">
        <v>1</v>
      </c>
      <c r="C16" s="1675"/>
      <c r="D16" s="1675"/>
      <c r="E16" s="1856">
        <f>294218-10000</f>
        <v>284218</v>
      </c>
      <c r="F16" s="1893" t="e">
        <f t="shared" si="32"/>
        <v>#REF!</v>
      </c>
      <c r="G16" s="1884"/>
      <c r="H16" s="1879" t="e">
        <f t="shared" si="0"/>
        <v>#REF!</v>
      </c>
      <c r="I16" s="1796"/>
      <c r="J16" s="1879"/>
      <c r="K16" s="1879"/>
      <c r="L16" s="1702">
        <v>3210</v>
      </c>
      <c r="M16" s="1703" t="e">
        <f>#REF!</f>
        <v>#REF!</v>
      </c>
      <c r="N16" s="1702">
        <v>0</v>
      </c>
      <c r="O16" s="1703" t="e">
        <f>#REF!</f>
        <v>#REF!</v>
      </c>
      <c r="P16" s="1702">
        <v>630</v>
      </c>
      <c r="Q16" s="1703" t="e">
        <f>#REF!</f>
        <v>#REF!</v>
      </c>
      <c r="R16" s="1726">
        <f t="shared" si="33"/>
        <v>3840</v>
      </c>
      <c r="S16" s="1730" t="e">
        <f t="shared" si="10"/>
        <v>#REF!</v>
      </c>
      <c r="T16" s="1697" t="e">
        <f t="shared" si="11"/>
        <v>#REF!</v>
      </c>
      <c r="U16" s="1702">
        <v>0</v>
      </c>
      <c r="V16" s="1703" t="e">
        <f>#REF!</f>
        <v>#REF!</v>
      </c>
      <c r="W16" s="1702">
        <v>1000</v>
      </c>
      <c r="X16" s="1703" t="e">
        <f>#REF!</f>
        <v>#REF!</v>
      </c>
      <c r="Y16" s="1702" t="e">
        <f>#REF!</f>
        <v>#REF!</v>
      </c>
      <c r="Z16" s="1703" t="e">
        <f>#REF!</f>
        <v>#REF!</v>
      </c>
      <c r="AA16" s="1726" t="e">
        <f>SUM(U16+W16+Y16)</f>
        <v>#REF!</v>
      </c>
      <c r="AB16" s="1730" t="e">
        <f t="shared" si="6"/>
        <v>#REF!</v>
      </c>
      <c r="AC16" s="1697" t="e">
        <f t="shared" si="7"/>
        <v>#REF!</v>
      </c>
      <c r="AD16" s="1702">
        <f>[5]สพส.!$H$157</f>
        <v>1000</v>
      </c>
      <c r="AE16" s="1703" t="e">
        <f>#REF!</f>
        <v>#REF!</v>
      </c>
      <c r="AF16" s="1702">
        <f>[5]สพส.!$I$157</f>
        <v>1000</v>
      </c>
      <c r="AG16" s="1703" t="e">
        <f>#REF!</f>
        <v>#REF!</v>
      </c>
      <c r="AH16" s="1702">
        <f>[5]สพส.!$J$157</f>
        <v>63300</v>
      </c>
      <c r="AI16" s="1703" t="e">
        <f>#REF!</f>
        <v>#REF!</v>
      </c>
      <c r="AJ16" s="1726">
        <f>SUM(AD16+AF16+AH16)</f>
        <v>65300</v>
      </c>
      <c r="AK16" s="1730" t="e">
        <f t="shared" si="20"/>
        <v>#REF!</v>
      </c>
      <c r="AL16" s="1697" t="e">
        <f t="shared" si="21"/>
        <v>#REF!</v>
      </c>
      <c r="AM16" s="1702">
        <f>[5]สพส.!$K$157</f>
        <v>34900</v>
      </c>
      <c r="AN16" s="1703" t="e">
        <f>#REF!</f>
        <v>#REF!</v>
      </c>
      <c r="AO16" s="1702">
        <f>[5]สพส.!$L$157</f>
        <v>91300</v>
      </c>
      <c r="AP16" s="1703" t="e">
        <f>#REF!</f>
        <v>#REF!</v>
      </c>
      <c r="AQ16" s="1702">
        <v>1000</v>
      </c>
      <c r="AR16" s="1703" t="e">
        <f>#REF!</f>
        <v>#REF!</v>
      </c>
      <c r="AS16" s="1726">
        <f>SUM(AM16+AO16+AQ16)</f>
        <v>127200</v>
      </c>
      <c r="AT16" s="1730" t="e">
        <f t="shared" si="22"/>
        <v>#REF!</v>
      </c>
      <c r="AU16" s="1697" t="e">
        <f t="shared" si="23"/>
        <v>#REF!</v>
      </c>
      <c r="AV16" s="1830" t="e">
        <f t="shared" si="5"/>
        <v>#REF!</v>
      </c>
      <c r="AW16" s="1726" t="e">
        <f t="shared" si="8"/>
        <v>#REF!</v>
      </c>
      <c r="AX16" s="1705" t="e">
        <f t="shared" si="2"/>
        <v>#REF!</v>
      </c>
      <c r="AY16" s="1704" t="e">
        <f t="shared" si="24"/>
        <v>#REF!</v>
      </c>
      <c r="AZ16" s="472"/>
      <c r="BA16" s="2005" t="e">
        <f t="shared" si="25"/>
        <v>#REF!</v>
      </c>
      <c r="BB16" s="1999">
        <f t="shared" si="26"/>
        <v>4840</v>
      </c>
      <c r="BC16" s="1995" t="e">
        <f t="shared" si="27"/>
        <v>#REF!</v>
      </c>
      <c r="BD16" s="827" t="e">
        <f t="shared" si="28"/>
        <v>#REF!</v>
      </c>
      <c r="BE16" s="2002" t="e">
        <f t="shared" si="29"/>
        <v>#REF!</v>
      </c>
      <c r="BF16" s="2008" t="e">
        <f t="shared" si="30"/>
        <v>#REF!</v>
      </c>
      <c r="BG16" s="1992" t="e">
        <f t="shared" si="34"/>
        <v>#REF!</v>
      </c>
      <c r="BH16" s="2012" t="e">
        <f t="shared" si="35"/>
        <v>#REF!</v>
      </c>
      <c r="BI16" s="1995" t="e">
        <f t="shared" si="31"/>
        <v>#REF!</v>
      </c>
      <c r="BJ16" s="1992" t="e">
        <f t="shared" si="36"/>
        <v>#REF!</v>
      </c>
    </row>
    <row r="17" spans="1:71" ht="20.25" customHeight="1" x14ac:dyDescent="0.3">
      <c r="A17" s="1678"/>
      <c r="B17" s="1674" t="s">
        <v>3</v>
      </c>
      <c r="C17" s="1675"/>
      <c r="D17" s="1675"/>
      <c r="E17" s="1856">
        <f>11500+16500+38125+11500-625</f>
        <v>77000</v>
      </c>
      <c r="F17" s="1893" t="e">
        <f t="shared" si="32"/>
        <v>#REF!</v>
      </c>
      <c r="G17" s="1884"/>
      <c r="H17" s="1879" t="e">
        <f t="shared" si="0"/>
        <v>#REF!</v>
      </c>
      <c r="I17" s="1796"/>
      <c r="J17" s="1879"/>
      <c r="K17" s="1879"/>
      <c r="L17" s="1702">
        <v>500</v>
      </c>
      <c r="M17" s="1703">
        <f>'[12]สรุป สสป. รายเดือน'!$C$4</f>
        <v>0</v>
      </c>
      <c r="N17" s="1702">
        <v>5500</v>
      </c>
      <c r="O17" s="1703">
        <f>'[12]สรุป สสป. รายเดือน'!$C$5</f>
        <v>1530</v>
      </c>
      <c r="P17" s="1702">
        <v>5500</v>
      </c>
      <c r="Q17" s="1703">
        <f>'[12]สรุป สสป. รายเดือน'!$C$6</f>
        <v>6054.8</v>
      </c>
      <c r="R17" s="1726">
        <f t="shared" si="33"/>
        <v>11500</v>
      </c>
      <c r="S17" s="1730">
        <f>SUM(M17+O17+Q17)</f>
        <v>7584.8</v>
      </c>
      <c r="T17" s="1697">
        <f t="shared" si="11"/>
        <v>3915.2</v>
      </c>
      <c r="U17" s="1702">
        <v>5500</v>
      </c>
      <c r="V17" s="1703">
        <f>'[12]สรุป สสป. รายเดือน'!$C$7</f>
        <v>0</v>
      </c>
      <c r="W17" s="1702">
        <v>5500</v>
      </c>
      <c r="X17" s="1703">
        <f>'[12]สรุป สสป. รายเดือน'!$C$8</f>
        <v>0</v>
      </c>
      <c r="Y17" s="1702" t="e">
        <f>#REF!</f>
        <v>#REF!</v>
      </c>
      <c r="Z17" s="1703">
        <f>'[12]สรุป สสป. รายเดือน'!$C$9</f>
        <v>770</v>
      </c>
      <c r="AA17" s="1726" t="e">
        <f t="shared" si="12"/>
        <v>#REF!</v>
      </c>
      <c r="AB17" s="1730">
        <f t="shared" si="6"/>
        <v>770</v>
      </c>
      <c r="AC17" s="1697" t="e">
        <f t="shared" si="7"/>
        <v>#REF!</v>
      </c>
      <c r="AD17" s="1702" t="e">
        <f>#REF!</f>
        <v>#REF!</v>
      </c>
      <c r="AE17" s="1703">
        <f>'[12]สรุป สสป. รายเดือน'!$C$10</f>
        <v>480.43</v>
      </c>
      <c r="AF17" s="1702" t="e">
        <f>#REF!</f>
        <v>#REF!</v>
      </c>
      <c r="AG17" s="1703">
        <f>'[12]สรุป สสป. รายเดือน'!$C$11</f>
        <v>19098.43</v>
      </c>
      <c r="AH17" s="1702" t="e">
        <f>#REF!</f>
        <v>#REF!</v>
      </c>
      <c r="AI17" s="1703">
        <f>'[12]สรุป สสป. รายเดือน'!$C$12</f>
        <v>900.43000000000006</v>
      </c>
      <c r="AJ17" s="1726" t="e">
        <f t="shared" ref="AJ17:AJ61" si="37">SUM(AD17+AF17+AH17)</f>
        <v>#REF!</v>
      </c>
      <c r="AK17" s="1730">
        <f t="shared" si="20"/>
        <v>20479.29</v>
      </c>
      <c r="AL17" s="1697" t="e">
        <f t="shared" si="21"/>
        <v>#REF!</v>
      </c>
      <c r="AM17" s="1702" t="e">
        <f>#REF!</f>
        <v>#REF!</v>
      </c>
      <c r="AN17" s="1703">
        <f>'[12]สรุป สสป. รายเดือน'!$C$13</f>
        <v>480.43</v>
      </c>
      <c r="AO17" s="1702" t="e">
        <f>#REF!</f>
        <v>#REF!</v>
      </c>
      <c r="AP17" s="1703">
        <f>'[12]สรุป สสป. รายเดือน'!$C$14</f>
        <v>480.43</v>
      </c>
      <c r="AQ17" s="1702" t="e">
        <f>#REF!</f>
        <v>#REF!</v>
      </c>
      <c r="AR17" s="1703">
        <f>'[12]สรุป สสป. รายเดือน'!$C$15</f>
        <v>480.43</v>
      </c>
      <c r="AS17" s="1726" t="e">
        <f t="shared" ref="AS17:AS61" si="38">SUM(AM17+AO17+AQ17)</f>
        <v>#REF!</v>
      </c>
      <c r="AT17" s="1730">
        <f t="shared" si="22"/>
        <v>1441.29</v>
      </c>
      <c r="AU17" s="1697" t="e">
        <f t="shared" si="23"/>
        <v>#REF!</v>
      </c>
      <c r="AV17" s="1830" t="e">
        <f t="shared" si="5"/>
        <v>#REF!</v>
      </c>
      <c r="AW17" s="1726" t="e">
        <f t="shared" si="8"/>
        <v>#REF!</v>
      </c>
      <c r="AX17" s="1705">
        <f t="shared" si="2"/>
        <v>30275.38</v>
      </c>
      <c r="AY17" s="1704">
        <f t="shared" si="24"/>
        <v>46724.619999999995</v>
      </c>
      <c r="AZ17" s="473"/>
      <c r="BA17" s="2005" t="e">
        <f t="shared" si="25"/>
        <v>#REF!</v>
      </c>
      <c r="BB17" s="1999">
        <f t="shared" si="26"/>
        <v>22500</v>
      </c>
      <c r="BC17" s="1995" t="e">
        <f t="shared" si="27"/>
        <v>#REF!</v>
      </c>
      <c r="BD17" s="827" t="e">
        <f t="shared" si="28"/>
        <v>#REF!</v>
      </c>
      <c r="BE17" s="2002">
        <f t="shared" si="29"/>
        <v>7584.8</v>
      </c>
      <c r="BF17" s="2008">
        <f t="shared" si="30"/>
        <v>22690.58</v>
      </c>
      <c r="BG17" s="1992">
        <f t="shared" si="34"/>
        <v>30275.38</v>
      </c>
      <c r="BH17" s="2012">
        <f t="shared" si="35"/>
        <v>14915.2</v>
      </c>
      <c r="BI17" s="1995" t="e">
        <f t="shared" si="31"/>
        <v>#REF!</v>
      </c>
      <c r="BJ17" s="1992" t="e">
        <f t="shared" si="36"/>
        <v>#REF!</v>
      </c>
    </row>
    <row r="18" spans="1:71" s="366" customFormat="1" ht="20.25" customHeight="1" x14ac:dyDescent="0.3">
      <c r="A18" s="1678"/>
      <c r="B18" s="1674" t="s">
        <v>24</v>
      </c>
      <c r="C18" s="1675"/>
      <c r="D18" s="1675"/>
      <c r="E18" s="1856">
        <f>740000-10000</f>
        <v>730000</v>
      </c>
      <c r="F18" s="1893" t="e">
        <f t="shared" si="32"/>
        <v>#REF!</v>
      </c>
      <c r="G18" s="1884"/>
      <c r="H18" s="1879" t="e">
        <f t="shared" si="0"/>
        <v>#REF!</v>
      </c>
      <c r="I18" s="1796"/>
      <c r="J18" s="1879"/>
      <c r="K18" s="1879"/>
      <c r="L18" s="1702">
        <v>5500</v>
      </c>
      <c r="M18" s="1703">
        <f>'[13]สรุป สภท. รายเดือน'!$C$4</f>
        <v>5100</v>
      </c>
      <c r="N18" s="1702">
        <f>5500-3900</f>
        <v>1600</v>
      </c>
      <c r="O18" s="1703">
        <f>'[13]สรุป สภท. รายเดือน'!$C$5</f>
        <v>1520</v>
      </c>
      <c r="P18" s="1702">
        <f>117500-10000-87500</f>
        <v>20000</v>
      </c>
      <c r="Q18" s="1703">
        <f>'[13]สรุป สภท. รายเดือน'!$C$6</f>
        <v>19700</v>
      </c>
      <c r="R18" s="1726">
        <f t="shared" si="33"/>
        <v>27100</v>
      </c>
      <c r="S18" s="1730">
        <f>SUM(M18+O18+Q18)</f>
        <v>26320</v>
      </c>
      <c r="T18" s="1697">
        <f t="shared" si="11"/>
        <v>780</v>
      </c>
      <c r="U18" s="1702">
        <v>65500</v>
      </c>
      <c r="V18" s="1703">
        <f>'[13]สรุป สภท. รายเดือน'!$C$7</f>
        <v>2700</v>
      </c>
      <c r="W18" s="1702">
        <v>23000</v>
      </c>
      <c r="X18" s="1703">
        <f>'[13]สรุป สภท. รายเดือน'!$C$8</f>
        <v>0</v>
      </c>
      <c r="Y18" s="1702" t="e">
        <f>#REF!-60000</f>
        <v>#REF!</v>
      </c>
      <c r="Z18" s="1703">
        <f>'[13]สรุป สภท. รายเดือน'!$C$9</f>
        <v>28620.799999999999</v>
      </c>
      <c r="AA18" s="1726" t="e">
        <f t="shared" si="12"/>
        <v>#REF!</v>
      </c>
      <c r="AB18" s="1730">
        <f t="shared" si="6"/>
        <v>31320.799999999999</v>
      </c>
      <c r="AC18" s="1697" t="e">
        <f t="shared" si="7"/>
        <v>#REF!</v>
      </c>
      <c r="AD18" s="1702" t="e">
        <f>#REF!</f>
        <v>#REF!</v>
      </c>
      <c r="AE18" s="1703">
        <f>'[13]สรุป สภท. รายเดือน'!$C$10</f>
        <v>143918</v>
      </c>
      <c r="AF18" s="1702" t="e">
        <f>#REF!</f>
        <v>#REF!</v>
      </c>
      <c r="AG18" s="1703">
        <f>'[13]สรุป สภท. รายเดือน'!$C$11</f>
        <v>41980</v>
      </c>
      <c r="AH18" s="1702" t="e">
        <f>#REF!</f>
        <v>#REF!</v>
      </c>
      <c r="AI18" s="1703">
        <f>'[13]สรุป สภท. รายเดือน'!$C$12</f>
        <v>36525</v>
      </c>
      <c r="AJ18" s="1726" t="e">
        <f t="shared" si="37"/>
        <v>#REF!</v>
      </c>
      <c r="AK18" s="1730">
        <f t="shared" si="20"/>
        <v>222423</v>
      </c>
      <c r="AL18" s="1697" t="e">
        <f t="shared" si="21"/>
        <v>#REF!</v>
      </c>
      <c r="AM18" s="1702" t="e">
        <f>#REF!</f>
        <v>#REF!</v>
      </c>
      <c r="AN18" s="1703">
        <f>'[13]สรุป สภท. รายเดือน'!$C$13</f>
        <v>5992</v>
      </c>
      <c r="AO18" s="1702" t="e">
        <f>#REF!</f>
        <v>#REF!</v>
      </c>
      <c r="AP18" s="1703">
        <f>'[13]สรุป สภท. รายเดือน'!$C$14</f>
        <v>960</v>
      </c>
      <c r="AQ18" s="1702" t="e">
        <f>#REF!+60000</f>
        <v>#REF!</v>
      </c>
      <c r="AR18" s="1703">
        <f>'[13]สรุป สภท. รายเดือน'!$C$15</f>
        <v>58710</v>
      </c>
      <c r="AS18" s="1726" t="e">
        <f t="shared" si="38"/>
        <v>#REF!</v>
      </c>
      <c r="AT18" s="1730">
        <f t="shared" si="22"/>
        <v>65662</v>
      </c>
      <c r="AU18" s="1697" t="e">
        <f t="shared" si="23"/>
        <v>#REF!</v>
      </c>
      <c r="AV18" s="1830" t="e">
        <f t="shared" si="5"/>
        <v>#REF!</v>
      </c>
      <c r="AW18" s="1726" t="e">
        <f>G18+R18+AA18+AJ18+AS18</f>
        <v>#REF!</v>
      </c>
      <c r="AX18" s="1705">
        <f t="shared" si="2"/>
        <v>345725.8</v>
      </c>
      <c r="AY18" s="1704">
        <f t="shared" si="24"/>
        <v>384274.2</v>
      </c>
      <c r="AZ18" s="472"/>
      <c r="BA18" s="2005" t="e">
        <f t="shared" si="25"/>
        <v>#REF!</v>
      </c>
      <c r="BB18" s="1999">
        <f t="shared" si="26"/>
        <v>115600</v>
      </c>
      <c r="BC18" s="1995" t="e">
        <f t="shared" si="27"/>
        <v>#REF!</v>
      </c>
      <c r="BD18" s="827" t="e">
        <f t="shared" si="28"/>
        <v>#REF!</v>
      </c>
      <c r="BE18" s="2002">
        <f t="shared" si="29"/>
        <v>29020</v>
      </c>
      <c r="BF18" s="2008">
        <f t="shared" si="30"/>
        <v>316705.8</v>
      </c>
      <c r="BG18" s="1992">
        <f t="shared" si="34"/>
        <v>345725.8</v>
      </c>
      <c r="BH18" s="2012">
        <f t="shared" si="35"/>
        <v>86580</v>
      </c>
      <c r="BI18" s="1995" t="e">
        <f t="shared" si="31"/>
        <v>#REF!</v>
      </c>
      <c r="BJ18" s="1992" t="e">
        <f t="shared" si="36"/>
        <v>#REF!</v>
      </c>
    </row>
    <row r="19" spans="1:71" s="366" customFormat="1" ht="20.25" customHeight="1" x14ac:dyDescent="0.3">
      <c r="A19" s="1678"/>
      <c r="B19" s="1674" t="s">
        <v>23</v>
      </c>
      <c r="C19" s="1675"/>
      <c r="D19" s="1675"/>
      <c r="E19" s="1856">
        <f>741900-200000</f>
        <v>541900</v>
      </c>
      <c r="F19" s="1893" t="e">
        <f t="shared" si="32"/>
        <v>#REF!</v>
      </c>
      <c r="G19" s="1884"/>
      <c r="H19" s="1879" t="e">
        <f t="shared" si="0"/>
        <v>#REF!</v>
      </c>
      <c r="I19" s="1796"/>
      <c r="J19" s="1879"/>
      <c r="K19" s="1879"/>
      <c r="L19" s="1702">
        <v>57700</v>
      </c>
      <c r="M19" s="1703">
        <f>'[14]สรุป สทส. รายเดือน'!$C$4</f>
        <v>53100</v>
      </c>
      <c r="N19" s="1702">
        <f>139625-100000</f>
        <v>39625</v>
      </c>
      <c r="O19" s="1703">
        <f>'[14]สรุป สทส. รายเดือน'!$C$5</f>
        <v>21310</v>
      </c>
      <c r="P19" s="1702">
        <f>139775-100000</f>
        <v>39775</v>
      </c>
      <c r="Q19" s="1703">
        <f>'[14]สรุป สทส. รายเดือน'!$C$6</f>
        <v>48000</v>
      </c>
      <c r="R19" s="1726">
        <f t="shared" si="33"/>
        <v>137100</v>
      </c>
      <c r="S19" s="1730">
        <f>SUM(M19+O19+Q19)</f>
        <v>122410</v>
      </c>
      <c r="T19" s="1697">
        <f t="shared" si="11"/>
        <v>14690</v>
      </c>
      <c r="U19" s="1702">
        <v>25200</v>
      </c>
      <c r="V19" s="1703">
        <f>'[14]สรุป สทส. รายเดือน'!$C$7</f>
        <v>39095.5</v>
      </c>
      <c r="W19" s="1702">
        <f>25200+6150</f>
        <v>31350</v>
      </c>
      <c r="X19" s="1703">
        <f>'[14]สรุป สทส. รายเดือน'!$C$8</f>
        <v>72870</v>
      </c>
      <c r="Y19" s="1702" t="e">
        <f>#REF!-45000</f>
        <v>#REF!</v>
      </c>
      <c r="Z19" s="1703">
        <f>'[14]สรุป สทส. รายเดือน'!$C$9</f>
        <v>13510</v>
      </c>
      <c r="AA19" s="1726" t="e">
        <f t="shared" si="12"/>
        <v>#REF!</v>
      </c>
      <c r="AB19" s="1730">
        <f t="shared" si="6"/>
        <v>125475.5</v>
      </c>
      <c r="AC19" s="1697" t="e">
        <f t="shared" si="7"/>
        <v>#REF!</v>
      </c>
      <c r="AD19" s="1702" t="e">
        <f>#REF!</f>
        <v>#REF!</v>
      </c>
      <c r="AE19" s="1703">
        <f>'[14]สรุป สทส. รายเดือน'!$C$10</f>
        <v>29900</v>
      </c>
      <c r="AF19" s="1702" t="e">
        <f>#REF!</f>
        <v>#REF!</v>
      </c>
      <c r="AG19" s="1703">
        <f>'[14]สรุป สทส. รายเดือน'!$C$11</f>
        <v>47685.2</v>
      </c>
      <c r="AH19" s="1702" t="e">
        <f>#REF!</f>
        <v>#REF!</v>
      </c>
      <c r="AI19" s="1703">
        <f>'[14]สรุป สทส. รายเดือน'!$C$12</f>
        <v>48740</v>
      </c>
      <c r="AJ19" s="1726" t="e">
        <f t="shared" si="37"/>
        <v>#REF!</v>
      </c>
      <c r="AK19" s="1730">
        <f t="shared" si="20"/>
        <v>126325.2</v>
      </c>
      <c r="AL19" s="1697" t="e">
        <f t="shared" si="21"/>
        <v>#REF!</v>
      </c>
      <c r="AM19" s="1702" t="e">
        <f>#REF!</f>
        <v>#REF!</v>
      </c>
      <c r="AN19" s="1703">
        <f>'[14]สรุป สทส. รายเดือน'!$C$13</f>
        <v>44640</v>
      </c>
      <c r="AO19" s="1702" t="e">
        <f>#REF!</f>
        <v>#REF!</v>
      </c>
      <c r="AP19" s="1703">
        <f>'[14]สรุป สทส. รายเดือน'!$C$14</f>
        <v>16200</v>
      </c>
      <c r="AQ19" s="1702" t="e">
        <f>#REF!+45000</f>
        <v>#REF!</v>
      </c>
      <c r="AR19" s="1703">
        <f>'[14]สรุป สทส. รายเดือน'!$C$15</f>
        <v>66656.800000000003</v>
      </c>
      <c r="AS19" s="1726" t="e">
        <f t="shared" si="38"/>
        <v>#REF!</v>
      </c>
      <c r="AT19" s="1730">
        <f t="shared" si="22"/>
        <v>127496.8</v>
      </c>
      <c r="AU19" s="1697" t="e">
        <f t="shared" si="23"/>
        <v>#REF!</v>
      </c>
      <c r="AV19" s="1830" t="e">
        <f t="shared" si="5"/>
        <v>#REF!</v>
      </c>
      <c r="AW19" s="1726" t="e">
        <f t="shared" si="8"/>
        <v>#REF!</v>
      </c>
      <c r="AX19" s="1705">
        <f t="shared" si="2"/>
        <v>501707.5</v>
      </c>
      <c r="AY19" s="1704">
        <f t="shared" si="24"/>
        <v>40192.5</v>
      </c>
      <c r="AZ19" s="472"/>
      <c r="BA19" s="2005" t="e">
        <f t="shared" si="25"/>
        <v>#REF!</v>
      </c>
      <c r="BB19" s="1999">
        <f t="shared" si="26"/>
        <v>193650</v>
      </c>
      <c r="BC19" s="1995" t="e">
        <f t="shared" si="27"/>
        <v>#REF!</v>
      </c>
      <c r="BD19" s="827" t="e">
        <f t="shared" si="28"/>
        <v>#REF!</v>
      </c>
      <c r="BE19" s="2002">
        <f t="shared" si="29"/>
        <v>234375.5</v>
      </c>
      <c r="BF19" s="2008">
        <f t="shared" si="30"/>
        <v>267332</v>
      </c>
      <c r="BG19" s="1992">
        <f t="shared" si="34"/>
        <v>501707.5</v>
      </c>
      <c r="BH19" s="2012">
        <f t="shared" si="35"/>
        <v>-40725.5</v>
      </c>
      <c r="BI19" s="1995" t="e">
        <f t="shared" si="31"/>
        <v>#REF!</v>
      </c>
      <c r="BJ19" s="1992" t="e">
        <f t="shared" si="36"/>
        <v>#REF!</v>
      </c>
    </row>
    <row r="20" spans="1:71" s="366" customFormat="1" ht="20.25" customHeight="1" x14ac:dyDescent="0.3">
      <c r="A20" s="1678"/>
      <c r="B20" s="1674" t="s">
        <v>4</v>
      </c>
      <c r="C20" s="1675"/>
      <c r="D20" s="1675"/>
      <c r="E20" s="1856">
        <f>147000</f>
        <v>147000</v>
      </c>
      <c r="F20" s="1893" t="e">
        <f t="shared" si="32"/>
        <v>#REF!</v>
      </c>
      <c r="G20" s="1884"/>
      <c r="H20" s="1879" t="e">
        <f t="shared" si="0"/>
        <v>#REF!</v>
      </c>
      <c r="I20" s="1796"/>
      <c r="J20" s="1879"/>
      <c r="K20" s="1879"/>
      <c r="L20" s="1702">
        <v>500</v>
      </c>
      <c r="M20" s="1703">
        <f>'[15]สรุป สกก.รายเดือน'!$C$4</f>
        <v>0</v>
      </c>
      <c r="N20" s="1702">
        <f>3600-600</f>
        <v>3000</v>
      </c>
      <c r="O20" s="1703">
        <f>'[15]สรุป สกก.รายเดือน'!$C$5</f>
        <v>560</v>
      </c>
      <c r="P20" s="1702">
        <v>19000</v>
      </c>
      <c r="Q20" s="1703">
        <f>'[15]สรุป สกก.รายเดือน'!$C$6</f>
        <v>500</v>
      </c>
      <c r="R20" s="1726">
        <f t="shared" si="33"/>
        <v>22500</v>
      </c>
      <c r="S20" s="1730">
        <f t="shared" si="10"/>
        <v>1060</v>
      </c>
      <c r="T20" s="1697">
        <f t="shared" si="11"/>
        <v>21440</v>
      </c>
      <c r="U20" s="1702">
        <v>0</v>
      </c>
      <c r="V20" s="1703">
        <f>'[15]สรุป สกก.รายเดือน'!$C$7</f>
        <v>0</v>
      </c>
      <c r="W20" s="1702">
        <v>1000</v>
      </c>
      <c r="X20" s="1703">
        <f>'[15]สรุป สกก.รายเดือน'!$C$8</f>
        <v>25500</v>
      </c>
      <c r="Y20" s="1702" t="e">
        <f>#REF!</f>
        <v>#REF!</v>
      </c>
      <c r="Z20" s="1703">
        <f>'[15]สรุป สกก.รายเดือน'!$C$9</f>
        <v>595</v>
      </c>
      <c r="AA20" s="1726" t="e">
        <f t="shared" si="12"/>
        <v>#REF!</v>
      </c>
      <c r="AB20" s="1730">
        <f t="shared" si="6"/>
        <v>26095</v>
      </c>
      <c r="AC20" s="1697" t="e">
        <f t="shared" si="7"/>
        <v>#REF!</v>
      </c>
      <c r="AD20" s="1702" t="e">
        <f>#REF!</f>
        <v>#REF!</v>
      </c>
      <c r="AE20" s="1703">
        <f>'[15]สรุป สกก.รายเดือน'!$C$10</f>
        <v>1926</v>
      </c>
      <c r="AF20" s="1702" t="e">
        <f>#REF!</f>
        <v>#REF!</v>
      </c>
      <c r="AG20" s="1703">
        <f>'[15]สรุป สกก.รายเดือน'!$C$11</f>
        <v>34874</v>
      </c>
      <c r="AH20" s="1702" t="e">
        <f>#REF!</f>
        <v>#REF!</v>
      </c>
      <c r="AI20" s="1703">
        <f>'[15]สรุป สกก.รายเดือน'!$C$12</f>
        <v>0</v>
      </c>
      <c r="AJ20" s="1726" t="e">
        <f t="shared" si="37"/>
        <v>#REF!</v>
      </c>
      <c r="AK20" s="1730">
        <f t="shared" si="20"/>
        <v>36800</v>
      </c>
      <c r="AL20" s="1697" t="e">
        <f t="shared" si="21"/>
        <v>#REF!</v>
      </c>
      <c r="AM20" s="1702" t="e">
        <f>#REF!</f>
        <v>#REF!</v>
      </c>
      <c r="AN20" s="1703">
        <f>'[15]สรุป สกก.รายเดือน'!$C$13</f>
        <v>4805</v>
      </c>
      <c r="AO20" s="1702" t="e">
        <f>#REF!</f>
        <v>#REF!</v>
      </c>
      <c r="AP20" s="1703">
        <f>'[15]สรุป สกก.รายเดือน'!$C$14</f>
        <v>19795</v>
      </c>
      <c r="AQ20" s="1702" t="e">
        <f>#REF!</f>
        <v>#REF!</v>
      </c>
      <c r="AR20" s="1703">
        <f>'[15]สรุป สกก.รายเดือน'!$C$15</f>
        <v>9600</v>
      </c>
      <c r="AS20" s="1726" t="e">
        <f t="shared" si="38"/>
        <v>#REF!</v>
      </c>
      <c r="AT20" s="1730">
        <f t="shared" si="22"/>
        <v>34200</v>
      </c>
      <c r="AU20" s="1697" t="e">
        <f t="shared" si="23"/>
        <v>#REF!</v>
      </c>
      <c r="AV20" s="1830" t="e">
        <f t="shared" si="5"/>
        <v>#REF!</v>
      </c>
      <c r="AW20" s="1726" t="e">
        <f t="shared" si="8"/>
        <v>#REF!</v>
      </c>
      <c r="AX20" s="1705">
        <f t="shared" si="2"/>
        <v>98155</v>
      </c>
      <c r="AY20" s="1704">
        <f t="shared" si="24"/>
        <v>48845</v>
      </c>
      <c r="AZ20" s="472"/>
      <c r="BA20" s="2005" t="e">
        <f t="shared" si="25"/>
        <v>#REF!</v>
      </c>
      <c r="BB20" s="1999">
        <f t="shared" si="26"/>
        <v>23500</v>
      </c>
      <c r="BC20" s="1995" t="e">
        <f t="shared" si="27"/>
        <v>#REF!</v>
      </c>
      <c r="BD20" s="827" t="e">
        <f t="shared" si="28"/>
        <v>#REF!</v>
      </c>
      <c r="BE20" s="2002">
        <f t="shared" si="29"/>
        <v>26560</v>
      </c>
      <c r="BF20" s="2008">
        <f t="shared" si="30"/>
        <v>71595</v>
      </c>
      <c r="BG20" s="1992">
        <f t="shared" si="34"/>
        <v>98155</v>
      </c>
      <c r="BH20" s="2012">
        <f t="shared" si="35"/>
        <v>-3060</v>
      </c>
      <c r="BI20" s="1995" t="e">
        <f t="shared" si="31"/>
        <v>#REF!</v>
      </c>
      <c r="BJ20" s="1992" t="e">
        <f t="shared" si="36"/>
        <v>#REF!</v>
      </c>
    </row>
    <row r="21" spans="1:71" s="366" customFormat="1" ht="20.25" customHeight="1" x14ac:dyDescent="0.3">
      <c r="A21" s="1678"/>
      <c r="B21" s="1674" t="s">
        <v>20</v>
      </c>
      <c r="C21" s="1675"/>
      <c r="D21" s="1675"/>
      <c r="E21" s="1856">
        <f>500800-10000</f>
        <v>490800</v>
      </c>
      <c r="F21" s="1893" t="e">
        <f>R21+AA21</f>
        <v>#REF!</v>
      </c>
      <c r="G21" s="1884"/>
      <c r="H21" s="1879" t="e">
        <f t="shared" si="0"/>
        <v>#REF!</v>
      </c>
      <c r="I21" s="1796"/>
      <c r="J21" s="1879"/>
      <c r="K21" s="1879"/>
      <c r="L21" s="1702">
        <v>5600</v>
      </c>
      <c r="M21" s="1703">
        <f>'[16]สรุป สปร. รายเดือน'!$C$4</f>
        <v>32285.200000000001</v>
      </c>
      <c r="N21" s="1702">
        <v>37000</v>
      </c>
      <c r="O21" s="1703">
        <f>'[16]สรุป สปร. รายเดือน'!$C$5</f>
        <v>1550</v>
      </c>
      <c r="P21" s="1702">
        <v>7600</v>
      </c>
      <c r="Q21" s="1703">
        <f>'[16]สรุป สปร. รายเดือน'!$C$6</f>
        <v>29350</v>
      </c>
      <c r="R21" s="1726">
        <f t="shared" si="33"/>
        <v>50200</v>
      </c>
      <c r="S21" s="1730">
        <f t="shared" si="10"/>
        <v>63185.2</v>
      </c>
      <c r="T21" s="1697">
        <f t="shared" si="11"/>
        <v>-12985.199999999997</v>
      </c>
      <c r="U21" s="1702">
        <v>17000</v>
      </c>
      <c r="V21" s="1703">
        <f>'[16]สรุป สปร. รายเดือน'!$C$7</f>
        <v>42808</v>
      </c>
      <c r="W21" s="1702">
        <v>95600</v>
      </c>
      <c r="X21" s="1703">
        <f>'[16]สรุป สปร. รายเดือน'!$C$8</f>
        <v>57600</v>
      </c>
      <c r="Y21" s="1702" t="e">
        <f>#REF!</f>
        <v>#REF!</v>
      </c>
      <c r="Z21" s="1703">
        <f>'[16]สรุป สปร. รายเดือน'!$C$9</f>
        <v>84154</v>
      </c>
      <c r="AA21" s="1726" t="e">
        <f t="shared" si="12"/>
        <v>#REF!</v>
      </c>
      <c r="AB21" s="1730">
        <f>SUM(V21+X21+Z21)</f>
        <v>184562</v>
      </c>
      <c r="AC21" s="1697" t="e">
        <f t="shared" si="7"/>
        <v>#REF!</v>
      </c>
      <c r="AD21" s="1702" t="e">
        <f>#REF!</f>
        <v>#REF!</v>
      </c>
      <c r="AE21" s="1703">
        <f>'[16]สรุป สปร. รายเดือน'!$C$10</f>
        <v>9450</v>
      </c>
      <c r="AF21" s="1702" t="e">
        <f>#REF!</f>
        <v>#REF!</v>
      </c>
      <c r="AG21" s="1703">
        <f>'[16]สรุป สปร. รายเดือน'!$C$11</f>
        <v>68410</v>
      </c>
      <c r="AH21" s="1702" t="e">
        <f>#REF!</f>
        <v>#REF!</v>
      </c>
      <c r="AI21" s="1703">
        <f>'[16]สรุป สปร. รายเดือน'!$C$12</f>
        <v>66640</v>
      </c>
      <c r="AJ21" s="1726" t="e">
        <f t="shared" si="37"/>
        <v>#REF!</v>
      </c>
      <c r="AK21" s="1730">
        <f t="shared" si="20"/>
        <v>144500</v>
      </c>
      <c r="AL21" s="1697" t="e">
        <f t="shared" si="21"/>
        <v>#REF!</v>
      </c>
      <c r="AM21" s="1702" t="e">
        <f>#REF!</f>
        <v>#REF!</v>
      </c>
      <c r="AN21" s="1703">
        <f>'[16]สรุป สปร. รายเดือน'!$C$13</f>
        <v>5100</v>
      </c>
      <c r="AO21" s="1702" t="e">
        <f>#REF!</f>
        <v>#REF!</v>
      </c>
      <c r="AP21" s="1703">
        <f>'[16]สรุป สปร. รายเดือน'!$C$14</f>
        <v>66300</v>
      </c>
      <c r="AQ21" s="1702" t="e">
        <f>#REF!</f>
        <v>#REF!</v>
      </c>
      <c r="AR21" s="1703">
        <f>'[16]สรุป สปร. รายเดือน'!$C$15</f>
        <v>7250</v>
      </c>
      <c r="AS21" s="1726" t="e">
        <f t="shared" si="38"/>
        <v>#REF!</v>
      </c>
      <c r="AT21" s="1730">
        <f t="shared" si="22"/>
        <v>78650</v>
      </c>
      <c r="AU21" s="1697" t="e">
        <f t="shared" si="23"/>
        <v>#REF!</v>
      </c>
      <c r="AV21" s="1830" t="e">
        <f t="shared" si="5"/>
        <v>#REF!</v>
      </c>
      <c r="AW21" s="1726" t="e">
        <f t="shared" si="8"/>
        <v>#REF!</v>
      </c>
      <c r="AX21" s="1705">
        <f t="shared" si="2"/>
        <v>470897.2</v>
      </c>
      <c r="AY21" s="1704">
        <f t="shared" si="24"/>
        <v>19902.799999999988</v>
      </c>
      <c r="AZ21" s="472"/>
      <c r="BA21" s="2005" t="e">
        <f t="shared" si="25"/>
        <v>#REF!</v>
      </c>
      <c r="BB21" s="1999">
        <f t="shared" si="26"/>
        <v>162800</v>
      </c>
      <c r="BC21" s="1995" t="e">
        <f t="shared" si="27"/>
        <v>#REF!</v>
      </c>
      <c r="BD21" s="827" t="e">
        <f t="shared" si="28"/>
        <v>#REF!</v>
      </c>
      <c r="BE21" s="2002">
        <f t="shared" si="29"/>
        <v>163593.20000000001</v>
      </c>
      <c r="BF21" s="2008">
        <f t="shared" si="30"/>
        <v>307304</v>
      </c>
      <c r="BG21" s="1992">
        <f t="shared" si="34"/>
        <v>470897.2</v>
      </c>
      <c r="BH21" s="2012">
        <f t="shared" si="35"/>
        <v>-793.20000000001164</v>
      </c>
      <c r="BI21" s="1995" t="e">
        <f t="shared" si="31"/>
        <v>#REF!</v>
      </c>
      <c r="BJ21" s="1992" t="e">
        <f t="shared" si="36"/>
        <v>#REF!</v>
      </c>
    </row>
    <row r="22" spans="1:71" s="366" customFormat="1" ht="20.25" customHeight="1" x14ac:dyDescent="0.3">
      <c r="A22" s="1678"/>
      <c r="B22" s="1679" t="s">
        <v>5</v>
      </c>
      <c r="C22" s="1680"/>
      <c r="D22" s="1680"/>
      <c r="E22" s="1856">
        <f>307610-20000</f>
        <v>287610</v>
      </c>
      <c r="F22" s="1893" t="e">
        <f t="shared" si="32"/>
        <v>#REF!</v>
      </c>
      <c r="G22" s="1884"/>
      <c r="H22" s="1879" t="e">
        <f t="shared" si="0"/>
        <v>#REF!</v>
      </c>
      <c r="I22" s="1796"/>
      <c r="J22" s="1879"/>
      <c r="K22" s="1879"/>
      <c r="L22" s="1702">
        <v>1900</v>
      </c>
      <c r="M22" s="1703">
        <f>'[17]สรุป สพก.รายเดือน'!$C$4</f>
        <v>308</v>
      </c>
      <c r="N22" s="1702">
        <f>15500-10000</f>
        <v>5500</v>
      </c>
      <c r="O22" s="1703">
        <f>'[17]สรุป สพก.รายเดือน'!$C$5</f>
        <v>21733.5</v>
      </c>
      <c r="P22" s="1702">
        <f>88005-10000</f>
        <v>78005</v>
      </c>
      <c r="Q22" s="1703">
        <f>'[17]สรุป สพก.รายเดือน'!$C$6</f>
        <v>21965</v>
      </c>
      <c r="R22" s="1726">
        <f t="shared" si="33"/>
        <v>85405</v>
      </c>
      <c r="S22" s="1730">
        <f t="shared" si="10"/>
        <v>44006.5</v>
      </c>
      <c r="T22" s="1697">
        <f t="shared" si="11"/>
        <v>41398.5</v>
      </c>
      <c r="U22" s="1702">
        <v>1900</v>
      </c>
      <c r="V22" s="1703">
        <f>'[17]สรุป สพก.รายเดือน'!$C$7</f>
        <v>1290</v>
      </c>
      <c r="W22" s="1702">
        <v>0</v>
      </c>
      <c r="X22" s="1703">
        <f>'[17]สรุป สพก.รายเดือน'!$C$8</f>
        <v>2750</v>
      </c>
      <c r="Y22" s="1702" t="e">
        <f>#REF!</f>
        <v>#REF!</v>
      </c>
      <c r="Z22" s="1703">
        <f>'[17]สรุป สพก.รายเดือน'!$C$9</f>
        <v>0</v>
      </c>
      <c r="AA22" s="1726" t="e">
        <f t="shared" si="12"/>
        <v>#REF!</v>
      </c>
      <c r="AB22" s="1730">
        <f t="shared" si="6"/>
        <v>4040</v>
      </c>
      <c r="AC22" s="1697" t="e">
        <f t="shared" si="7"/>
        <v>#REF!</v>
      </c>
      <c r="AD22" s="1702" t="e">
        <f>#REF!</f>
        <v>#REF!</v>
      </c>
      <c r="AE22" s="1703">
        <f>'[17]สรุป สพก.รายเดือน'!$C$10</f>
        <v>15162.3</v>
      </c>
      <c r="AF22" s="1702" t="e">
        <f>#REF!</f>
        <v>#REF!</v>
      </c>
      <c r="AG22" s="1703">
        <f>'[17]สรุป สพก.รายเดือน'!$C$11</f>
        <v>33147.5</v>
      </c>
      <c r="AH22" s="1702" t="e">
        <f>#REF!</f>
        <v>#REF!</v>
      </c>
      <c r="AI22" s="1703">
        <f>'[17]สรุป สพก.รายเดือน'!$C$12</f>
        <v>0</v>
      </c>
      <c r="AJ22" s="1726" t="e">
        <f t="shared" si="37"/>
        <v>#REF!</v>
      </c>
      <c r="AK22" s="1730">
        <f t="shared" si="20"/>
        <v>48309.8</v>
      </c>
      <c r="AL22" s="1697" t="e">
        <f t="shared" si="21"/>
        <v>#REF!</v>
      </c>
      <c r="AM22" s="1702" t="e">
        <f>#REF!</f>
        <v>#REF!</v>
      </c>
      <c r="AN22" s="1703">
        <f>'[17]สรุป สพก.รายเดือน'!$C$13</f>
        <v>0</v>
      </c>
      <c r="AO22" s="1702" t="e">
        <f>#REF!</f>
        <v>#REF!</v>
      </c>
      <c r="AP22" s="1703">
        <f>'[17]สรุป สพก.รายเดือน'!$C$14</f>
        <v>58796.5</v>
      </c>
      <c r="AQ22" s="1702" t="e">
        <f>#REF!</f>
        <v>#REF!</v>
      </c>
      <c r="AR22" s="1703">
        <f>'[17]สรุป สพก.รายเดือน'!$C$15</f>
        <v>10425</v>
      </c>
      <c r="AS22" s="1726" t="e">
        <f t="shared" si="38"/>
        <v>#REF!</v>
      </c>
      <c r="AT22" s="1730">
        <f t="shared" si="22"/>
        <v>69221.5</v>
      </c>
      <c r="AU22" s="1697" t="e">
        <f t="shared" si="23"/>
        <v>#REF!</v>
      </c>
      <c r="AV22" s="1830" t="e">
        <f t="shared" si="5"/>
        <v>#REF!</v>
      </c>
      <c r="AW22" s="1726" t="e">
        <f t="shared" si="8"/>
        <v>#REF!</v>
      </c>
      <c r="AX22" s="1705">
        <f t="shared" si="2"/>
        <v>165577.79999999999</v>
      </c>
      <c r="AY22" s="1704">
        <f t="shared" si="24"/>
        <v>122032.20000000001</v>
      </c>
      <c r="AZ22" s="472"/>
      <c r="BA22" s="2005" t="e">
        <f t="shared" si="25"/>
        <v>#REF!</v>
      </c>
      <c r="BB22" s="1999">
        <f t="shared" si="26"/>
        <v>87305</v>
      </c>
      <c r="BC22" s="1995" t="e">
        <f t="shared" si="27"/>
        <v>#REF!</v>
      </c>
      <c r="BD22" s="827" t="e">
        <f t="shared" si="28"/>
        <v>#REF!</v>
      </c>
      <c r="BE22" s="2002">
        <f t="shared" si="29"/>
        <v>48046.5</v>
      </c>
      <c r="BF22" s="2008">
        <f t="shared" si="30"/>
        <v>117531.3</v>
      </c>
      <c r="BG22" s="1992">
        <f t="shared" si="34"/>
        <v>165577.79999999999</v>
      </c>
      <c r="BH22" s="2012">
        <f t="shared" si="35"/>
        <v>39258.5</v>
      </c>
      <c r="BI22" s="1995" t="e">
        <f t="shared" si="31"/>
        <v>#REF!</v>
      </c>
      <c r="BJ22" s="1992" t="e">
        <f t="shared" si="36"/>
        <v>#REF!</v>
      </c>
    </row>
    <row r="23" spans="1:71" s="366" customFormat="1" ht="20.25" customHeight="1" x14ac:dyDescent="0.3">
      <c r="A23" s="1678"/>
      <c r="B23" s="1674" t="s">
        <v>21</v>
      </c>
      <c r="C23" s="1675"/>
      <c r="D23" s="1675"/>
      <c r="E23" s="1856">
        <f>266000-20000</f>
        <v>246000</v>
      </c>
      <c r="F23" s="1893" t="e">
        <f t="shared" si="32"/>
        <v>#REF!</v>
      </c>
      <c r="G23" s="1884"/>
      <c r="H23" s="1879" t="e">
        <f t="shared" si="0"/>
        <v>#REF!</v>
      </c>
      <c r="I23" s="1796"/>
      <c r="J23" s="1879"/>
      <c r="K23" s="1879"/>
      <c r="L23" s="1702">
        <v>0</v>
      </c>
      <c r="M23" s="1703">
        <f>'[18]สรุป สปข.รายเดือน'!$C$4</f>
        <v>0</v>
      </c>
      <c r="N23" s="1702">
        <v>0</v>
      </c>
      <c r="O23" s="1703">
        <f>'[18]สรุป สปข.รายเดือน'!$C$5</f>
        <v>0</v>
      </c>
      <c r="P23" s="1702">
        <v>0</v>
      </c>
      <c r="Q23" s="1703">
        <f>'[18]สรุป สปข.รายเดือน'!$C$6</f>
        <v>4243.07</v>
      </c>
      <c r="R23" s="1726">
        <f t="shared" si="33"/>
        <v>0</v>
      </c>
      <c r="S23" s="1730">
        <f t="shared" si="10"/>
        <v>4243.07</v>
      </c>
      <c r="T23" s="1697">
        <f t="shared" si="11"/>
        <v>-4243.07</v>
      </c>
      <c r="U23" s="1702">
        <v>0</v>
      </c>
      <c r="V23" s="1703">
        <f>'[18]สรุป สปข.รายเดือน'!$C$7</f>
        <v>0</v>
      </c>
      <c r="W23" s="1702">
        <v>0</v>
      </c>
      <c r="X23" s="1703">
        <f>'[18]สรุป สปข.รายเดือน'!$C$8</f>
        <v>700</v>
      </c>
      <c r="Y23" s="1702" t="e">
        <f>#REF!</f>
        <v>#REF!</v>
      </c>
      <c r="Z23" s="1703">
        <f>'[18]สรุป สปข.รายเดือน'!$C$9</f>
        <v>175465</v>
      </c>
      <c r="AA23" s="1726" t="e">
        <f t="shared" si="12"/>
        <v>#REF!</v>
      </c>
      <c r="AB23" s="1730">
        <f t="shared" si="6"/>
        <v>176165</v>
      </c>
      <c r="AC23" s="1697" t="e">
        <f t="shared" si="7"/>
        <v>#REF!</v>
      </c>
      <c r="AD23" s="1702" t="e">
        <f>#REF!</f>
        <v>#REF!</v>
      </c>
      <c r="AE23" s="1703">
        <f>'[18]สรุป สปข.รายเดือน'!$C$10</f>
        <v>18735</v>
      </c>
      <c r="AF23" s="1702" t="e">
        <f>#REF!</f>
        <v>#REF!</v>
      </c>
      <c r="AG23" s="1703">
        <f>'[18]สรุป สปข.รายเดือน'!$C$11</f>
        <v>33459.5</v>
      </c>
      <c r="AH23" s="1702" t="e">
        <f>#REF!</f>
        <v>#REF!</v>
      </c>
      <c r="AI23" s="1703">
        <f>'[18]สรุป สปข.รายเดือน'!$C$12</f>
        <v>2030</v>
      </c>
      <c r="AJ23" s="1726" t="e">
        <f t="shared" si="37"/>
        <v>#REF!</v>
      </c>
      <c r="AK23" s="1730">
        <f t="shared" si="20"/>
        <v>54224.5</v>
      </c>
      <c r="AL23" s="1697" t="e">
        <f t="shared" si="21"/>
        <v>#REF!</v>
      </c>
      <c r="AM23" s="1702" t="e">
        <f>#REF!</f>
        <v>#REF!</v>
      </c>
      <c r="AN23" s="1703">
        <f>'[18]สรุป สปข.รายเดือน'!$C$13</f>
        <v>735</v>
      </c>
      <c r="AO23" s="1702" t="e">
        <f>#REF!</f>
        <v>#REF!</v>
      </c>
      <c r="AP23" s="1703">
        <f>'[18]สรุป สปข.รายเดือน'!$C$14</f>
        <v>3430</v>
      </c>
      <c r="AQ23" s="1702" t="e">
        <f>#REF!</f>
        <v>#REF!</v>
      </c>
      <c r="AR23" s="1703">
        <f>'[18]สรุป สปข.รายเดือน'!$C$15</f>
        <v>0</v>
      </c>
      <c r="AS23" s="1726" t="e">
        <f t="shared" si="38"/>
        <v>#REF!</v>
      </c>
      <c r="AT23" s="1730">
        <f t="shared" si="22"/>
        <v>4165</v>
      </c>
      <c r="AU23" s="1697" t="e">
        <f t="shared" si="23"/>
        <v>#REF!</v>
      </c>
      <c r="AV23" s="1830" t="e">
        <f t="shared" si="5"/>
        <v>#REF!</v>
      </c>
      <c r="AW23" s="1726" t="e">
        <f t="shared" si="8"/>
        <v>#REF!</v>
      </c>
      <c r="AX23" s="1705">
        <f t="shared" si="2"/>
        <v>238797.57</v>
      </c>
      <c r="AY23" s="1704">
        <f t="shared" si="24"/>
        <v>7202.429999999993</v>
      </c>
      <c r="AZ23" s="472"/>
      <c r="BA23" s="2005" t="e">
        <f t="shared" si="25"/>
        <v>#REF!</v>
      </c>
      <c r="BB23" s="1999">
        <f t="shared" si="26"/>
        <v>0</v>
      </c>
      <c r="BC23" s="1995" t="e">
        <f t="shared" si="27"/>
        <v>#REF!</v>
      </c>
      <c r="BD23" s="827" t="e">
        <f t="shared" si="28"/>
        <v>#REF!</v>
      </c>
      <c r="BE23" s="2002">
        <f t="shared" si="29"/>
        <v>4943.07</v>
      </c>
      <c r="BF23" s="2008">
        <f t="shared" si="30"/>
        <v>233854.5</v>
      </c>
      <c r="BG23" s="1992">
        <f t="shared" si="34"/>
        <v>238797.57</v>
      </c>
      <c r="BH23" s="2012">
        <f t="shared" si="35"/>
        <v>-4943.07</v>
      </c>
      <c r="BI23" s="1995" t="e">
        <f t="shared" si="31"/>
        <v>#REF!</v>
      </c>
      <c r="BJ23" s="1992" t="e">
        <f t="shared" si="36"/>
        <v>#REF!</v>
      </c>
    </row>
    <row r="24" spans="1:71" s="1618" customFormat="1" ht="26.25" customHeight="1" x14ac:dyDescent="0.35">
      <c r="A24" s="1784" t="s">
        <v>628</v>
      </c>
      <c r="B24" s="1827"/>
      <c r="C24" s="1827"/>
      <c r="D24" s="1827"/>
      <c r="E24" s="1896">
        <f>E31+E32+E33+E26</f>
        <v>36735400</v>
      </c>
      <c r="F24" s="1907">
        <f>F31+F32+F33+F26</f>
        <v>36735400</v>
      </c>
      <c r="G24" s="1903"/>
      <c r="H24" s="1897">
        <f t="shared" si="0"/>
        <v>36735400</v>
      </c>
      <c r="I24" s="1924"/>
      <c r="J24" s="1897"/>
      <c r="K24" s="1897"/>
      <c r="L24" s="1897">
        <f>SUM(L31:L35)</f>
        <v>0</v>
      </c>
      <c r="M24" s="1897">
        <f>M26+M31+M32+M34+M35</f>
        <v>13954280</v>
      </c>
      <c r="N24" s="1897">
        <f t="shared" ref="N24:AU24" si="39">N26+N31+N32+N34+N35</f>
        <v>0</v>
      </c>
      <c r="O24" s="1897">
        <f t="shared" si="39"/>
        <v>385179.4</v>
      </c>
      <c r="P24" s="1897">
        <f t="shared" si="39"/>
        <v>585900</v>
      </c>
      <c r="Q24" s="1897">
        <f t="shared" si="39"/>
        <v>0</v>
      </c>
      <c r="R24" s="1897">
        <f>R26+R31+R32+R34+R35</f>
        <v>1002400</v>
      </c>
      <c r="S24" s="1897">
        <f t="shared" si="39"/>
        <v>14339459.4</v>
      </c>
      <c r="T24" s="1897">
        <f t="shared" si="39"/>
        <v>-13337059.4</v>
      </c>
      <c r="U24" s="1897">
        <f t="shared" si="39"/>
        <v>0</v>
      </c>
      <c r="V24" s="1897">
        <f t="shared" si="39"/>
        <v>0</v>
      </c>
      <c r="W24" s="1897">
        <f t="shared" si="39"/>
        <v>1520000</v>
      </c>
      <c r="X24" s="1897">
        <f t="shared" si="39"/>
        <v>0</v>
      </c>
      <c r="Y24" s="1897">
        <f t="shared" si="39"/>
        <v>21775740</v>
      </c>
      <c r="Z24" s="1897">
        <f t="shared" si="39"/>
        <v>2053200</v>
      </c>
      <c r="AA24" s="1898">
        <f t="shared" si="39"/>
        <v>23295740</v>
      </c>
      <c r="AB24" s="1899">
        <f t="shared" si="39"/>
        <v>2053200</v>
      </c>
      <c r="AC24" s="1897">
        <f t="shared" si="39"/>
        <v>21242540</v>
      </c>
      <c r="AD24" s="1897">
        <f t="shared" si="39"/>
        <v>0</v>
      </c>
      <c r="AE24" s="1897">
        <f t="shared" si="39"/>
        <v>8897200</v>
      </c>
      <c r="AF24" s="1897">
        <f t="shared" si="39"/>
        <v>490000</v>
      </c>
      <c r="AG24" s="1897">
        <f t="shared" si="39"/>
        <v>446722.2</v>
      </c>
      <c r="AH24" s="1897">
        <f t="shared" si="39"/>
        <v>10189560</v>
      </c>
      <c r="AI24" s="1897">
        <f t="shared" si="39"/>
        <v>0</v>
      </c>
      <c r="AJ24" s="1898">
        <f t="shared" si="39"/>
        <v>10679560</v>
      </c>
      <c r="AK24" s="1899">
        <f t="shared" si="39"/>
        <v>9343922.1999999993</v>
      </c>
      <c r="AL24" s="1897">
        <f t="shared" si="39"/>
        <v>1335637.8</v>
      </c>
      <c r="AM24" s="1897">
        <f t="shared" si="39"/>
        <v>0</v>
      </c>
      <c r="AN24" s="1897">
        <f t="shared" si="39"/>
        <v>3138044.4</v>
      </c>
      <c r="AO24" s="1897">
        <f t="shared" si="39"/>
        <v>0</v>
      </c>
      <c r="AP24" s="1897">
        <f t="shared" si="39"/>
        <v>10788565</v>
      </c>
      <c r="AQ24" s="1897">
        <f t="shared" si="39"/>
        <v>1757700</v>
      </c>
      <c r="AR24" s="1897">
        <f t="shared" si="39"/>
        <v>800888.8</v>
      </c>
      <c r="AS24" s="1898">
        <f t="shared" si="39"/>
        <v>1757700</v>
      </c>
      <c r="AT24" s="1899">
        <f t="shared" si="39"/>
        <v>14727498.199999999</v>
      </c>
      <c r="AU24" s="1897">
        <f t="shared" si="39"/>
        <v>-12969798.199999999</v>
      </c>
      <c r="AV24" s="1910">
        <f t="shared" si="5"/>
        <v>20342740.600000001</v>
      </c>
      <c r="AW24" s="1898">
        <f>R24+AA24+AJ24+AS24</f>
        <v>36735400</v>
      </c>
      <c r="AX24" s="1897">
        <f t="shared" si="2"/>
        <v>40464079.799999997</v>
      </c>
      <c r="AY24" s="1897">
        <f>E24-S24-AB24</f>
        <v>20342740.600000001</v>
      </c>
      <c r="AZ24" s="1764"/>
      <c r="BA24" s="2006" t="e">
        <f>SUM(BA14:BA23)</f>
        <v>#REF!</v>
      </c>
      <c r="BB24" s="2000">
        <f>SUM(BB14:BB23)</f>
        <v>718172</v>
      </c>
      <c r="BC24" s="1996" t="e">
        <f t="shared" si="27"/>
        <v>#REF!</v>
      </c>
      <c r="BD24" s="1997" t="e">
        <f>SUM(BD14:BD23)</f>
        <v>#REF!</v>
      </c>
      <c r="BE24" s="2003" t="e">
        <f>SUM(BE14:BE23)</f>
        <v>#REF!</v>
      </c>
      <c r="BF24" s="2009" t="e">
        <f>SUM(BF14:BF23)</f>
        <v>#REF!</v>
      </c>
      <c r="BG24" s="1994" t="e">
        <f>SUM(BG14:BG23)</f>
        <v>#REF!</v>
      </c>
      <c r="BH24" s="2013" t="e">
        <f t="shared" si="35"/>
        <v>#REF!</v>
      </c>
      <c r="BI24" s="1996" t="e">
        <f t="shared" si="31"/>
        <v>#REF!</v>
      </c>
      <c r="BJ24" s="1994" t="e">
        <f>SUM(BJ14:BJ23)</f>
        <v>#REF!</v>
      </c>
      <c r="BK24" s="1817"/>
      <c r="BL24" s="1817"/>
      <c r="BM24" s="1817"/>
      <c r="BN24" s="1817"/>
      <c r="BO24" s="1817"/>
      <c r="BP24" s="1817"/>
      <c r="BQ24" s="1817"/>
      <c r="BR24" s="1817"/>
      <c r="BS24" s="1817"/>
    </row>
    <row r="25" spans="1:71" ht="20.25" customHeight="1" x14ac:dyDescent="0.3">
      <c r="A25" s="3350" t="s">
        <v>629</v>
      </c>
      <c r="B25" s="3351"/>
      <c r="C25" s="3351"/>
      <c r="D25" s="3352"/>
      <c r="E25" s="1857">
        <f>E26+E31+E32</f>
        <v>19532300</v>
      </c>
      <c r="F25" s="1840"/>
      <c r="G25" s="1881"/>
      <c r="H25" s="1785"/>
      <c r="I25" s="1923"/>
      <c r="J25" s="1785"/>
      <c r="K25" s="1785"/>
      <c r="L25" s="1785"/>
      <c r="M25" s="1785"/>
      <c r="N25" s="1785"/>
      <c r="O25" s="1785"/>
      <c r="P25" s="1785"/>
      <c r="Q25" s="1785"/>
      <c r="R25" s="1786">
        <f>SUM(L25+N25+P25)</f>
        <v>0</v>
      </c>
      <c r="S25" s="1786">
        <f>SUM(M25+O25+Q25)</f>
        <v>0</v>
      </c>
      <c r="T25" s="1786">
        <f t="shared" ref="T25:T30" si="40">R25-S25</f>
        <v>0</v>
      </c>
      <c r="U25" s="1785"/>
      <c r="V25" s="1785"/>
      <c r="W25" s="1785"/>
      <c r="X25" s="1785"/>
      <c r="Y25" s="1785"/>
      <c r="Z25" s="1785"/>
      <c r="AA25" s="1786">
        <f>SUM(U25+W25+Y25)</f>
        <v>0</v>
      </c>
      <c r="AB25" s="1786">
        <f>SUM(V25+X25+Z25)</f>
        <v>0</v>
      </c>
      <c r="AC25" s="1786">
        <f>AA25-AB25</f>
        <v>0</v>
      </c>
      <c r="AD25" s="1785"/>
      <c r="AE25" s="1785"/>
      <c r="AF25" s="1785"/>
      <c r="AG25" s="1785"/>
      <c r="AH25" s="1785"/>
      <c r="AI25" s="1785"/>
      <c r="AJ25" s="1786">
        <f>SUM(AD25+AF25+AH25)</f>
        <v>0</v>
      </c>
      <c r="AK25" s="1786">
        <f>SUM(AE25+AG25+AI25)</f>
        <v>0</v>
      </c>
      <c r="AL25" s="1786">
        <f>AJ25-AK25</f>
        <v>0</v>
      </c>
      <c r="AM25" s="1785"/>
      <c r="AN25" s="1785"/>
      <c r="AO25" s="1785"/>
      <c r="AP25" s="1785"/>
      <c r="AQ25" s="1785"/>
      <c r="AR25" s="1785"/>
      <c r="AS25" s="1786">
        <f>SUM(AM25+AO25+AQ25)</f>
        <v>0</v>
      </c>
      <c r="AT25" s="1786">
        <f>SUM(AN25+AP25+AR25)</f>
        <v>0</v>
      </c>
      <c r="AU25" s="1786">
        <f>AS25-AT25</f>
        <v>0</v>
      </c>
      <c r="AV25" s="1786"/>
      <c r="AW25" s="1724">
        <f t="shared" ref="AW25:AW39" si="41">G25+R25+AA25+AJ25+AS25</f>
        <v>0</v>
      </c>
      <c r="AX25" s="1786">
        <f t="shared" si="2"/>
        <v>0</v>
      </c>
      <c r="AY25" s="1786">
        <f>E25-S25-AB25</f>
        <v>19532300</v>
      </c>
    </row>
    <row r="26" spans="1:71" ht="21.75" customHeight="1" x14ac:dyDescent="0.3">
      <c r="A26" s="1776"/>
      <c r="B26" s="1783" t="s">
        <v>680</v>
      </c>
      <c r="C26" s="1783"/>
      <c r="D26" s="1783"/>
      <c r="E26" s="1858">
        <f>E27+E28+E29+E30</f>
        <v>416500</v>
      </c>
      <c r="F26" s="1841">
        <f t="shared" ref="F26:F35" si="42">E26</f>
        <v>416500</v>
      </c>
      <c r="G26" s="1800"/>
      <c r="H26" s="1782">
        <f t="shared" ref="H26:H34" si="43">F26-G26</f>
        <v>416500</v>
      </c>
      <c r="I26" s="1925"/>
      <c r="J26" s="1782"/>
      <c r="K26" s="1782"/>
      <c r="L26" s="1782"/>
      <c r="M26" s="1782">
        <f>SUM(M27:M30)</f>
        <v>15900</v>
      </c>
      <c r="N26" s="1782"/>
      <c r="O26" s="1782">
        <f>SUM(O27:O30)</f>
        <v>385179.4</v>
      </c>
      <c r="P26" s="1782"/>
      <c r="Q26" s="1782">
        <f>SUM(Q27:Q30)</f>
        <v>0</v>
      </c>
      <c r="R26" s="1782">
        <f>SUM(R27:R30)</f>
        <v>416500</v>
      </c>
      <c r="S26" s="1782">
        <f>SUM(S27:S30)</f>
        <v>401079.4</v>
      </c>
      <c r="T26" s="1782">
        <f t="shared" si="40"/>
        <v>15420.599999999977</v>
      </c>
      <c r="U26" s="1779"/>
      <c r="V26" s="1779">
        <f>SUM(V27:V30)</f>
        <v>0</v>
      </c>
      <c r="W26" s="1779"/>
      <c r="X26" s="1779"/>
      <c r="Y26" s="1779"/>
      <c r="Z26" s="1779"/>
      <c r="AA26" s="1780"/>
      <c r="AB26" s="1781"/>
      <c r="AC26" s="1779"/>
      <c r="AD26" s="1779"/>
      <c r="AE26" s="1779"/>
      <c r="AF26" s="1779"/>
      <c r="AG26" s="1779"/>
      <c r="AH26" s="1779"/>
      <c r="AI26" s="1779"/>
      <c r="AJ26" s="1780"/>
      <c r="AK26" s="1781"/>
      <c r="AL26" s="1779"/>
      <c r="AM26" s="1779"/>
      <c r="AN26" s="1779"/>
      <c r="AO26" s="1779"/>
      <c r="AP26" s="1779"/>
      <c r="AQ26" s="1779"/>
      <c r="AR26" s="1779"/>
      <c r="AS26" s="1780"/>
      <c r="AT26" s="1781"/>
      <c r="AU26" s="1779"/>
      <c r="AV26" s="1831"/>
      <c r="AW26" s="1780">
        <f t="shared" si="41"/>
        <v>416500</v>
      </c>
      <c r="AX26" s="1782">
        <f t="shared" si="2"/>
        <v>401079.4</v>
      </c>
      <c r="AY26" s="1782">
        <f>E26-AX26</f>
        <v>15420.599999999977</v>
      </c>
    </row>
    <row r="27" spans="1:71" ht="22.5" customHeight="1" x14ac:dyDescent="0.3">
      <c r="A27" s="1776"/>
      <c r="B27" s="1777" t="s">
        <v>676</v>
      </c>
      <c r="C27" s="1778"/>
      <c r="D27" s="1778"/>
      <c r="E27" s="1857">
        <v>198300</v>
      </c>
      <c r="F27" s="1840">
        <f t="shared" si="42"/>
        <v>198300</v>
      </c>
      <c r="G27" s="1885"/>
      <c r="H27" s="1871">
        <f t="shared" si="43"/>
        <v>198300</v>
      </c>
      <c r="I27" s="1791"/>
      <c r="J27" s="1871"/>
      <c r="K27" s="1871"/>
      <c r="L27" s="1787">
        <v>198300</v>
      </c>
      <c r="M27" s="1788">
        <v>0</v>
      </c>
      <c r="N27" s="1787">
        <v>0</v>
      </c>
      <c r="O27" s="1699">
        <f>'[9]2.รายการ คชจ.ส่วนกลาง'!$AO$7+'[9]2.รายการ คชจ.ส่วนกลาง'!$AO$14-14990.7</f>
        <v>194708.69999999998</v>
      </c>
      <c r="P27" s="1787">
        <v>0</v>
      </c>
      <c r="Q27" s="1788">
        <v>0</v>
      </c>
      <c r="R27" s="1789">
        <f t="shared" ref="R27:S30" si="44">L27+N27+P27</f>
        <v>198300</v>
      </c>
      <c r="S27" s="1790">
        <f t="shared" si="44"/>
        <v>194708.69999999998</v>
      </c>
      <c r="T27" s="1791">
        <f t="shared" si="40"/>
        <v>3591.3000000000175</v>
      </c>
      <c r="U27" s="1787"/>
      <c r="V27" s="1788"/>
      <c r="W27" s="1787"/>
      <c r="X27" s="1788"/>
      <c r="Y27" s="1787"/>
      <c r="Z27" s="1788"/>
      <c r="AA27" s="1789"/>
      <c r="AB27" s="1790"/>
      <c r="AC27" s="1792"/>
      <c r="AD27" s="1787"/>
      <c r="AE27" s="1788"/>
      <c r="AF27" s="1787"/>
      <c r="AG27" s="1788"/>
      <c r="AH27" s="1787"/>
      <c r="AI27" s="1788"/>
      <c r="AJ27" s="1789"/>
      <c r="AK27" s="1790"/>
      <c r="AL27" s="1792"/>
      <c r="AM27" s="1787"/>
      <c r="AN27" s="1788"/>
      <c r="AO27" s="1787"/>
      <c r="AP27" s="1788"/>
      <c r="AQ27" s="1787"/>
      <c r="AR27" s="1792"/>
      <c r="AS27" s="1789"/>
      <c r="AT27" s="1790"/>
      <c r="AU27" s="1792"/>
      <c r="AV27" s="1832"/>
      <c r="AW27" s="1789">
        <f t="shared" si="41"/>
        <v>198300</v>
      </c>
      <c r="AX27" s="1793">
        <f t="shared" si="2"/>
        <v>194708.69999999998</v>
      </c>
      <c r="AY27" s="1793">
        <f>E27-AX27</f>
        <v>3591.3000000000175</v>
      </c>
    </row>
    <row r="28" spans="1:71" ht="22.5" customHeight="1" x14ac:dyDescent="0.3">
      <c r="A28" s="1776"/>
      <c r="B28" s="1777" t="s">
        <v>677</v>
      </c>
      <c r="C28" s="1778"/>
      <c r="D28" s="1778"/>
      <c r="E28" s="1857">
        <v>15900</v>
      </c>
      <c r="F28" s="1840">
        <f t="shared" si="42"/>
        <v>15900</v>
      </c>
      <c r="G28" s="1882"/>
      <c r="H28" s="1872">
        <f t="shared" si="43"/>
        <v>15900</v>
      </c>
      <c r="I28" s="1796"/>
      <c r="J28" s="1872"/>
      <c r="K28" s="1872"/>
      <c r="L28" s="1698">
        <v>15900</v>
      </c>
      <c r="M28" s="1699">
        <v>15900</v>
      </c>
      <c r="N28" s="1698"/>
      <c r="O28" s="1699"/>
      <c r="P28" s="1698"/>
      <c r="Q28" s="1699"/>
      <c r="R28" s="1794">
        <f t="shared" si="44"/>
        <v>15900</v>
      </c>
      <c r="S28" s="1795">
        <f t="shared" si="44"/>
        <v>15900</v>
      </c>
      <c r="T28" s="1796">
        <f t="shared" si="40"/>
        <v>0</v>
      </c>
      <c r="U28" s="1698"/>
      <c r="V28" s="1699"/>
      <c r="W28" s="1698"/>
      <c r="X28" s="1699"/>
      <c r="Y28" s="1698"/>
      <c r="Z28" s="1699"/>
      <c r="AA28" s="1794"/>
      <c r="AB28" s="1795"/>
      <c r="AC28" s="1797"/>
      <c r="AD28" s="1698"/>
      <c r="AE28" s="1699"/>
      <c r="AF28" s="1698"/>
      <c r="AG28" s="1699"/>
      <c r="AH28" s="1698"/>
      <c r="AI28" s="1699"/>
      <c r="AJ28" s="1794"/>
      <c r="AK28" s="1795"/>
      <c r="AL28" s="1797"/>
      <c r="AM28" s="1698"/>
      <c r="AN28" s="1699"/>
      <c r="AO28" s="1698"/>
      <c r="AP28" s="1699"/>
      <c r="AQ28" s="1698"/>
      <c r="AR28" s="1797"/>
      <c r="AS28" s="1794"/>
      <c r="AT28" s="1795"/>
      <c r="AU28" s="1797"/>
      <c r="AV28" s="1833"/>
      <c r="AW28" s="1794">
        <f t="shared" si="41"/>
        <v>15900</v>
      </c>
      <c r="AX28" s="1798">
        <f t="shared" si="2"/>
        <v>15900</v>
      </c>
      <c r="AY28" s="1798">
        <f>E28-AX28</f>
        <v>0</v>
      </c>
    </row>
    <row r="29" spans="1:71" ht="22.5" customHeight="1" x14ac:dyDescent="0.3">
      <c r="A29" s="1776"/>
      <c r="B29" s="1777" t="s">
        <v>678</v>
      </c>
      <c r="C29" s="1778"/>
      <c r="D29" s="1778"/>
      <c r="E29" s="1857">
        <v>15000</v>
      </c>
      <c r="F29" s="1840">
        <f t="shared" si="42"/>
        <v>15000</v>
      </c>
      <c r="G29" s="1882"/>
      <c r="H29" s="1872">
        <f t="shared" si="43"/>
        <v>15000</v>
      </c>
      <c r="I29" s="1796"/>
      <c r="J29" s="1872"/>
      <c r="K29" s="1872"/>
      <c r="L29" s="1698">
        <v>15000</v>
      </c>
      <c r="M29" s="1699"/>
      <c r="N29" s="1698"/>
      <c r="O29" s="1699">
        <v>14990.7</v>
      </c>
      <c r="P29" s="1698"/>
      <c r="Q29" s="1699"/>
      <c r="R29" s="1794">
        <f t="shared" si="44"/>
        <v>15000</v>
      </c>
      <c r="S29" s="1795">
        <f t="shared" si="44"/>
        <v>14990.7</v>
      </c>
      <c r="T29" s="1796">
        <f t="shared" si="40"/>
        <v>9.2999999999992724</v>
      </c>
      <c r="U29" s="1698"/>
      <c r="V29" s="1699"/>
      <c r="W29" s="1698"/>
      <c r="X29" s="1699"/>
      <c r="Y29" s="1698"/>
      <c r="Z29" s="1699"/>
      <c r="AA29" s="1794"/>
      <c r="AB29" s="1795"/>
      <c r="AC29" s="1797"/>
      <c r="AD29" s="1698"/>
      <c r="AE29" s="1699"/>
      <c r="AF29" s="1698"/>
      <c r="AG29" s="1699"/>
      <c r="AH29" s="1698"/>
      <c r="AI29" s="1699"/>
      <c r="AJ29" s="1794"/>
      <c r="AK29" s="1795"/>
      <c r="AL29" s="1797"/>
      <c r="AM29" s="1698"/>
      <c r="AN29" s="1699"/>
      <c r="AO29" s="1698"/>
      <c r="AP29" s="1699"/>
      <c r="AQ29" s="1698"/>
      <c r="AR29" s="1797"/>
      <c r="AS29" s="1794"/>
      <c r="AT29" s="1795"/>
      <c r="AU29" s="1797"/>
      <c r="AV29" s="1833"/>
      <c r="AW29" s="1794">
        <f t="shared" si="41"/>
        <v>15000</v>
      </c>
      <c r="AX29" s="1798">
        <f t="shared" si="2"/>
        <v>14990.7</v>
      </c>
      <c r="AY29" s="1798">
        <f>E29-AX29</f>
        <v>9.2999999999992724</v>
      </c>
    </row>
    <row r="30" spans="1:71" ht="22.5" customHeight="1" x14ac:dyDescent="0.3">
      <c r="A30" s="1776"/>
      <c r="B30" s="1777" t="s">
        <v>679</v>
      </c>
      <c r="C30" s="1778"/>
      <c r="D30" s="1778"/>
      <c r="E30" s="1857">
        <v>187300</v>
      </c>
      <c r="F30" s="1840">
        <f t="shared" si="42"/>
        <v>187300</v>
      </c>
      <c r="G30" s="1882"/>
      <c r="H30" s="1872">
        <f t="shared" si="43"/>
        <v>187300</v>
      </c>
      <c r="I30" s="1796"/>
      <c r="J30" s="1872"/>
      <c r="K30" s="1872"/>
      <c r="L30" s="1698"/>
      <c r="M30" s="1699"/>
      <c r="N30" s="1698">
        <v>187300</v>
      </c>
      <c r="O30" s="1699">
        <f>'[9]2.รายการ คชจ.ส่วนกลาง'!$AO$13</f>
        <v>175480</v>
      </c>
      <c r="P30" s="1698"/>
      <c r="Q30" s="1699"/>
      <c r="R30" s="1794">
        <f t="shared" si="44"/>
        <v>187300</v>
      </c>
      <c r="S30" s="1795">
        <f t="shared" si="44"/>
        <v>175480</v>
      </c>
      <c r="T30" s="1796">
        <f t="shared" si="40"/>
        <v>11820</v>
      </c>
      <c r="U30" s="1698"/>
      <c r="V30" s="1699"/>
      <c r="W30" s="1698"/>
      <c r="X30" s="1699"/>
      <c r="Y30" s="1698"/>
      <c r="Z30" s="1699"/>
      <c r="AA30" s="1794"/>
      <c r="AB30" s="1795"/>
      <c r="AC30" s="1797"/>
      <c r="AD30" s="1698"/>
      <c r="AE30" s="1699"/>
      <c r="AF30" s="1698"/>
      <c r="AG30" s="1699"/>
      <c r="AH30" s="1698"/>
      <c r="AI30" s="1699"/>
      <c r="AJ30" s="1794"/>
      <c r="AK30" s="1795"/>
      <c r="AL30" s="1797"/>
      <c r="AM30" s="1698"/>
      <c r="AN30" s="1699"/>
      <c r="AO30" s="1698"/>
      <c r="AP30" s="1699"/>
      <c r="AQ30" s="1698"/>
      <c r="AR30" s="1797"/>
      <c r="AS30" s="1794"/>
      <c r="AT30" s="1795"/>
      <c r="AU30" s="1797"/>
      <c r="AV30" s="1833"/>
      <c r="AW30" s="1794">
        <f t="shared" si="41"/>
        <v>187300</v>
      </c>
      <c r="AX30" s="1798">
        <f t="shared" si="2"/>
        <v>175480</v>
      </c>
      <c r="AY30" s="1798">
        <f>E30-AX30</f>
        <v>11820</v>
      </c>
    </row>
    <row r="31" spans="1:71" ht="37.5" customHeight="1" x14ac:dyDescent="0.3">
      <c r="A31" s="1653"/>
      <c r="B31" s="3348" t="s">
        <v>681</v>
      </c>
      <c r="C31" s="3348"/>
      <c r="D31" s="3349"/>
      <c r="E31" s="1859">
        <v>13256800</v>
      </c>
      <c r="F31" s="1842">
        <f t="shared" si="42"/>
        <v>13256800</v>
      </c>
      <c r="G31" s="1882"/>
      <c r="H31" s="1870">
        <f t="shared" si="43"/>
        <v>13256800</v>
      </c>
      <c r="I31" s="1796"/>
      <c r="J31" s="1870"/>
      <c r="K31" s="1870"/>
      <c r="L31" s="1698"/>
      <c r="M31" s="1699">
        <f>'[14]16.โครงการรายเดือน'!$B$20</f>
        <v>0</v>
      </c>
      <c r="N31" s="1698"/>
      <c r="O31" s="1699">
        <f>'[14]16.โครงการรายเดือน'!$C$20</f>
        <v>0</v>
      </c>
      <c r="P31" s="1698"/>
      <c r="Q31" s="1699">
        <f>'[14]16.โครงการรายเดือน'!$D$20</f>
        <v>0</v>
      </c>
      <c r="R31" s="1725">
        <f>SUM(L31+N31+P31)</f>
        <v>0</v>
      </c>
      <c r="S31" s="1729">
        <f t="shared" si="10"/>
        <v>0</v>
      </c>
      <c r="T31" s="1696">
        <f t="shared" si="11"/>
        <v>0</v>
      </c>
      <c r="U31" s="1698"/>
      <c r="V31" s="1699">
        <f>'[14]16.โครงการรายเดือน'!$E$20</f>
        <v>0</v>
      </c>
      <c r="W31" s="1698"/>
      <c r="X31" s="1699">
        <f>'[14]16.โครงการรายเดือน'!$F$20</f>
        <v>0</v>
      </c>
      <c r="Y31" s="1698">
        <v>13256800</v>
      </c>
      <c r="Z31" s="1699">
        <f>'[14]16.โครงการรายเดือน'!$G$20</f>
        <v>0</v>
      </c>
      <c r="AA31" s="1725">
        <f t="shared" si="12"/>
        <v>13256800</v>
      </c>
      <c r="AB31" s="1729">
        <f t="shared" si="6"/>
        <v>0</v>
      </c>
      <c r="AC31" s="1696">
        <f t="shared" si="7"/>
        <v>13256800</v>
      </c>
      <c r="AD31" s="1698"/>
      <c r="AE31" s="1699">
        <f>'[14]16.โครงการรายเดือน'!$H$20</f>
        <v>0</v>
      </c>
      <c r="AF31" s="1698"/>
      <c r="AG31" s="1699">
        <f>'[14]16.โครงการรายเดือน'!$I$20</f>
        <v>0</v>
      </c>
      <c r="AH31" s="1698"/>
      <c r="AI31" s="1699">
        <f>'[14]16.โครงการรายเดือน'!$J$20</f>
        <v>0</v>
      </c>
      <c r="AJ31" s="1725">
        <f t="shared" si="37"/>
        <v>0</v>
      </c>
      <c r="AK31" s="1729">
        <f t="shared" si="20"/>
        <v>0</v>
      </c>
      <c r="AL31" s="1696">
        <f t="shared" si="21"/>
        <v>0</v>
      </c>
      <c r="AM31" s="1698"/>
      <c r="AN31" s="1699">
        <f>'[14]16.โครงการรายเดือน'!$K$20</f>
        <v>0</v>
      </c>
      <c r="AO31" s="1698"/>
      <c r="AP31" s="1699">
        <f>'[14]16.โครงการรายเดือน'!$L$20</f>
        <v>10788565</v>
      </c>
      <c r="AQ31" s="1698"/>
      <c r="AR31" s="1699">
        <f>'[14]16.โครงการรายเดือน'!$M$20</f>
        <v>0</v>
      </c>
      <c r="AS31" s="1725">
        <f t="shared" si="38"/>
        <v>0</v>
      </c>
      <c r="AT31" s="1729">
        <f t="shared" si="22"/>
        <v>10788565</v>
      </c>
      <c r="AU31" s="1696">
        <f t="shared" si="23"/>
        <v>-10788565</v>
      </c>
      <c r="AV31" s="1829"/>
      <c r="AW31" s="1725">
        <f t="shared" si="41"/>
        <v>13256800</v>
      </c>
      <c r="AX31" s="1706">
        <f t="shared" si="2"/>
        <v>10788565</v>
      </c>
      <c r="AY31" s="1706">
        <f t="shared" ref="AY31:AY39" si="45">E31-S31-AB31</f>
        <v>13256800</v>
      </c>
    </row>
    <row r="32" spans="1:71" ht="39" customHeight="1" x14ac:dyDescent="0.3">
      <c r="A32" s="1653"/>
      <c r="B32" s="3353" t="s">
        <v>682</v>
      </c>
      <c r="C32" s="3353"/>
      <c r="D32" s="3354"/>
      <c r="E32" s="1859">
        <v>5859000</v>
      </c>
      <c r="F32" s="1842">
        <f t="shared" si="42"/>
        <v>5859000</v>
      </c>
      <c r="G32" s="1882"/>
      <c r="H32" s="1870">
        <f t="shared" si="43"/>
        <v>5859000</v>
      </c>
      <c r="I32" s="1796"/>
      <c r="J32" s="1870"/>
      <c r="K32" s="1870"/>
      <c r="L32" s="1698">
        <v>0</v>
      </c>
      <c r="M32" s="1699">
        <f>'[14]16.โครงการรายเดือน'!$P$20</f>
        <v>0</v>
      </c>
      <c r="N32" s="1698">
        <v>0</v>
      </c>
      <c r="O32" s="1699">
        <f>'[14]16.โครงการรายเดือน'!$Q$20</f>
        <v>0</v>
      </c>
      <c r="P32" s="1698">
        <v>585900</v>
      </c>
      <c r="Q32" s="1699">
        <f>'[14]16.โครงการรายเดือน'!$R$20</f>
        <v>0</v>
      </c>
      <c r="R32" s="1725">
        <f t="shared" ref="R32:R61" si="46">SUM(L32+N32+P32)</f>
        <v>585900</v>
      </c>
      <c r="S32" s="1729">
        <f t="shared" si="10"/>
        <v>0</v>
      </c>
      <c r="T32" s="1696">
        <f t="shared" si="11"/>
        <v>585900</v>
      </c>
      <c r="U32" s="1698">
        <v>0</v>
      </c>
      <c r="V32" s="1699">
        <f>'[14]16.โครงการรายเดือน'!$S$20</f>
        <v>0</v>
      </c>
      <c r="W32" s="1698">
        <v>0</v>
      </c>
      <c r="X32" s="1699">
        <f>'[14]16.โครงการรายเดือน'!$T$20</f>
        <v>0</v>
      </c>
      <c r="Y32" s="1698">
        <v>1757700</v>
      </c>
      <c r="Z32" s="1699">
        <f>'[14]16.โครงการรายเดือน'!$U$20</f>
        <v>0</v>
      </c>
      <c r="AA32" s="1725">
        <f t="shared" si="12"/>
        <v>1757700</v>
      </c>
      <c r="AB32" s="1729">
        <f t="shared" si="6"/>
        <v>0</v>
      </c>
      <c r="AC32" s="1696">
        <f t="shared" si="7"/>
        <v>1757700</v>
      </c>
      <c r="AD32" s="1698">
        <v>0</v>
      </c>
      <c r="AE32" s="1699">
        <f>'[14]16.โครงการรายเดือน'!$V$20</f>
        <v>0</v>
      </c>
      <c r="AF32" s="1698">
        <v>0</v>
      </c>
      <c r="AG32" s="1699">
        <f>'[14]16.โครงการรายเดือน'!$W$20</f>
        <v>200222.2</v>
      </c>
      <c r="AH32" s="1698">
        <v>1757700</v>
      </c>
      <c r="AI32" s="1699">
        <f>'[14]16.โครงการรายเดือน'!$X$20</f>
        <v>0</v>
      </c>
      <c r="AJ32" s="1725">
        <f t="shared" si="37"/>
        <v>1757700</v>
      </c>
      <c r="AK32" s="1729">
        <f t="shared" si="20"/>
        <v>200222.2</v>
      </c>
      <c r="AL32" s="1696">
        <f t="shared" si="21"/>
        <v>1557477.8</v>
      </c>
      <c r="AM32" s="1698">
        <v>0</v>
      </c>
      <c r="AN32" s="1699">
        <f>'[14]16.โครงการรายเดือน'!$Y$20</f>
        <v>400444.4</v>
      </c>
      <c r="AO32" s="1698">
        <v>0</v>
      </c>
      <c r="AP32" s="1699">
        <f>'[14]16.โครงการรายเดือน'!$Z$20</f>
        <v>0</v>
      </c>
      <c r="AQ32" s="1698">
        <v>1757700</v>
      </c>
      <c r="AR32" s="1699">
        <f>'[14]16.โครงการรายเดือน'!$AA$20</f>
        <v>800888.8</v>
      </c>
      <c r="AS32" s="1725">
        <f t="shared" si="38"/>
        <v>1757700</v>
      </c>
      <c r="AT32" s="1729">
        <f t="shared" si="22"/>
        <v>1201333.2000000002</v>
      </c>
      <c r="AU32" s="1696">
        <f t="shared" si="23"/>
        <v>556366.79999999981</v>
      </c>
      <c r="AV32" s="1829"/>
      <c r="AW32" s="1725">
        <f t="shared" si="41"/>
        <v>5859000</v>
      </c>
      <c r="AX32" s="1706">
        <f t="shared" si="2"/>
        <v>1401555.4000000001</v>
      </c>
      <c r="AY32" s="1706">
        <f t="shared" si="45"/>
        <v>5859000</v>
      </c>
    </row>
    <row r="33" spans="1:71" ht="19.5" customHeight="1" x14ac:dyDescent="0.3">
      <c r="A33" s="3357" t="s">
        <v>614</v>
      </c>
      <c r="B33" s="3353"/>
      <c r="C33" s="3353"/>
      <c r="D33" s="3354"/>
      <c r="E33" s="1859">
        <f>E34+E35</f>
        <v>17203100</v>
      </c>
      <c r="F33" s="1842">
        <f t="shared" si="42"/>
        <v>17203100</v>
      </c>
      <c r="G33" s="1882"/>
      <c r="H33" s="1870">
        <f t="shared" si="43"/>
        <v>17203100</v>
      </c>
      <c r="I33" s="1796"/>
      <c r="J33" s="1870"/>
      <c r="K33" s="1870"/>
      <c r="L33" s="1698"/>
      <c r="M33" s="1699"/>
      <c r="N33" s="1698"/>
      <c r="O33" s="1699"/>
      <c r="P33" s="1698"/>
      <c r="Q33" s="1699"/>
      <c r="R33" s="1725">
        <f t="shared" si="46"/>
        <v>0</v>
      </c>
      <c r="S33" s="1729">
        <f t="shared" si="10"/>
        <v>0</v>
      </c>
      <c r="T33" s="1696">
        <f t="shared" si="11"/>
        <v>0</v>
      </c>
      <c r="U33" s="1698"/>
      <c r="V33" s="1699"/>
      <c r="W33" s="1698"/>
      <c r="X33" s="1699"/>
      <c r="Y33" s="1698"/>
      <c r="Z33" s="1699"/>
      <c r="AA33" s="1725">
        <f t="shared" si="12"/>
        <v>0</v>
      </c>
      <c r="AB33" s="1729">
        <f t="shared" si="6"/>
        <v>0</v>
      </c>
      <c r="AC33" s="1696">
        <f t="shared" si="7"/>
        <v>0</v>
      </c>
      <c r="AD33" s="1698"/>
      <c r="AE33" s="1699"/>
      <c r="AF33" s="1698"/>
      <c r="AG33" s="1699"/>
      <c r="AH33" s="1698"/>
      <c r="AI33" s="1699"/>
      <c r="AJ33" s="1725">
        <f t="shared" si="37"/>
        <v>0</v>
      </c>
      <c r="AK33" s="1729">
        <f t="shared" si="20"/>
        <v>0</v>
      </c>
      <c r="AL33" s="1696">
        <f t="shared" si="21"/>
        <v>0</v>
      </c>
      <c r="AM33" s="1698"/>
      <c r="AN33" s="1699"/>
      <c r="AO33" s="1698"/>
      <c r="AP33" s="1699"/>
      <c r="AQ33" s="1698"/>
      <c r="AR33" s="1699"/>
      <c r="AS33" s="1725">
        <f t="shared" si="38"/>
        <v>0</v>
      </c>
      <c r="AT33" s="1729">
        <f t="shared" si="22"/>
        <v>0</v>
      </c>
      <c r="AU33" s="1696">
        <f t="shared" si="23"/>
        <v>0</v>
      </c>
      <c r="AV33" s="1829"/>
      <c r="AW33" s="1725">
        <f t="shared" si="41"/>
        <v>0</v>
      </c>
      <c r="AX33" s="1706">
        <f t="shared" si="2"/>
        <v>0</v>
      </c>
      <c r="AY33" s="1706">
        <f t="shared" si="45"/>
        <v>17203100</v>
      </c>
    </row>
    <row r="34" spans="1:71" s="366" customFormat="1" ht="23.25" customHeight="1" x14ac:dyDescent="0.3">
      <c r="A34" s="1653"/>
      <c r="B34" s="3327" t="s">
        <v>683</v>
      </c>
      <c r="C34" s="3327"/>
      <c r="D34" s="3328"/>
      <c r="E34" s="1859">
        <v>14053100</v>
      </c>
      <c r="F34" s="1842">
        <f t="shared" si="42"/>
        <v>14053100</v>
      </c>
      <c r="G34" s="1882"/>
      <c r="H34" s="1870">
        <f t="shared" si="43"/>
        <v>14053100</v>
      </c>
      <c r="I34" s="1796"/>
      <c r="J34" s="1870"/>
      <c r="K34" s="1870"/>
      <c r="L34" s="1698"/>
      <c r="M34" s="1699">
        <f>'[14]16.โครงการรายเดือน'!$CV$20</f>
        <v>13938380</v>
      </c>
      <c r="N34" s="1698"/>
      <c r="O34" s="1699">
        <f>'[14]16.โครงการรายเดือน'!$CW$20</f>
        <v>0</v>
      </c>
      <c r="P34" s="1698"/>
      <c r="Q34" s="1699">
        <f>'[14]16.โครงการรายเดือน'!$CX$20</f>
        <v>0</v>
      </c>
      <c r="R34" s="1725">
        <f t="shared" si="46"/>
        <v>0</v>
      </c>
      <c r="S34" s="1729">
        <f t="shared" si="10"/>
        <v>13938380</v>
      </c>
      <c r="T34" s="1696">
        <f t="shared" si="11"/>
        <v>-13938380</v>
      </c>
      <c r="U34" s="1698"/>
      <c r="V34" s="1699">
        <f>'[14]16.โครงการรายเดือน'!$CY$20</f>
        <v>0</v>
      </c>
      <c r="W34" s="1698"/>
      <c r="X34" s="1699">
        <f>'[14]16.โครงการรายเดือน'!$CZ$20</f>
        <v>0</v>
      </c>
      <c r="Y34" s="1698">
        <f>'[19]ยุทธฯ Cyber'!$I$14</f>
        <v>5621240</v>
      </c>
      <c r="Z34" s="1699">
        <f>'[14]16.โครงการรายเดือน'!$DA$20</f>
        <v>2053200</v>
      </c>
      <c r="AA34" s="1725">
        <f t="shared" si="12"/>
        <v>5621240</v>
      </c>
      <c r="AB34" s="1729">
        <f t="shared" si="6"/>
        <v>2053200</v>
      </c>
      <c r="AC34" s="1696">
        <f t="shared" si="7"/>
        <v>3568040</v>
      </c>
      <c r="AD34" s="1698"/>
      <c r="AE34" s="1699">
        <f>'[14]16.โครงการรายเดือน'!$DB$20</f>
        <v>8897200</v>
      </c>
      <c r="AF34" s="1698"/>
      <c r="AG34" s="1699">
        <f>'[14]16.โครงการรายเดือน'!$DC$20</f>
        <v>0</v>
      </c>
      <c r="AH34" s="1698">
        <f>'[19]ยุทธฯ Cyber'!$L$15</f>
        <v>8431860</v>
      </c>
      <c r="AI34" s="1699">
        <f>'[14]16.โครงการรายเดือน'!$DD$20</f>
        <v>0</v>
      </c>
      <c r="AJ34" s="1725">
        <f t="shared" si="37"/>
        <v>8431860</v>
      </c>
      <c r="AK34" s="1729">
        <f t="shared" si="20"/>
        <v>8897200</v>
      </c>
      <c r="AL34" s="1696">
        <f t="shared" si="21"/>
        <v>-465340</v>
      </c>
      <c r="AM34" s="1698"/>
      <c r="AN34" s="1699">
        <f>'[14]16.โครงการรายเดือน'!$DE$20</f>
        <v>2737600</v>
      </c>
      <c r="AO34" s="1698"/>
      <c r="AP34" s="1699">
        <f>'[14]16.โครงการรายเดือน'!$DF$20</f>
        <v>0</v>
      </c>
      <c r="AQ34" s="1698"/>
      <c r="AR34" s="1699">
        <f>'[14]16.โครงการรายเดือน'!$DG$20</f>
        <v>0</v>
      </c>
      <c r="AS34" s="1725">
        <f t="shared" si="38"/>
        <v>0</v>
      </c>
      <c r="AT34" s="1729">
        <f t="shared" si="22"/>
        <v>2737600</v>
      </c>
      <c r="AU34" s="1696">
        <f t="shared" si="23"/>
        <v>-2737600</v>
      </c>
      <c r="AV34" s="1829"/>
      <c r="AW34" s="1725">
        <f t="shared" si="41"/>
        <v>14053100</v>
      </c>
      <c r="AX34" s="1706">
        <f t="shared" si="2"/>
        <v>27626380</v>
      </c>
      <c r="AY34" s="1706">
        <f t="shared" si="45"/>
        <v>-1938480</v>
      </c>
      <c r="AZ34" s="395"/>
    </row>
    <row r="35" spans="1:71" ht="39.75" customHeight="1" x14ac:dyDescent="0.3">
      <c r="A35" s="1664"/>
      <c r="B35" s="3325" t="s">
        <v>684</v>
      </c>
      <c r="C35" s="3325"/>
      <c r="D35" s="3326"/>
      <c r="E35" s="1860">
        <f>SUM(E36:E39)-702600</f>
        <v>3150000</v>
      </c>
      <c r="F35" s="1843">
        <f t="shared" si="42"/>
        <v>3150000</v>
      </c>
      <c r="G35" s="1884"/>
      <c r="H35" s="1873"/>
      <c r="I35" s="1926">
        <v>0</v>
      </c>
      <c r="J35" s="1873"/>
      <c r="K35" s="1873"/>
      <c r="L35" s="1702"/>
      <c r="M35" s="1699">
        <f>'[13]16.โครงการ รายเดือน'!$DY$20</f>
        <v>0</v>
      </c>
      <c r="N35" s="1702"/>
      <c r="O35" s="1703">
        <f>'[13]16.โครงการ รายเดือน'!$EA$20</f>
        <v>0</v>
      </c>
      <c r="P35" s="1702"/>
      <c r="Q35" s="1703">
        <f>'[13]16.โครงการ รายเดือน'!$EC$20</f>
        <v>0</v>
      </c>
      <c r="R35" s="1725">
        <f t="shared" si="46"/>
        <v>0</v>
      </c>
      <c r="S35" s="1729">
        <f t="shared" si="10"/>
        <v>0</v>
      </c>
      <c r="T35" s="1696">
        <f t="shared" si="11"/>
        <v>0</v>
      </c>
      <c r="U35" s="1702"/>
      <c r="V35" s="1703">
        <f>'[13]16.โครงการ รายเดือน'!$EE$20</f>
        <v>0</v>
      </c>
      <c r="W35" s="1702">
        <f>'[19]ยุทธฯ ประยุกต์ใช้เทคโนฯ(เดิม)'!$H$14</f>
        <v>1520000</v>
      </c>
      <c r="X35" s="1703">
        <f>'[13]16.โครงการ รายเดือน'!$EG$20</f>
        <v>0</v>
      </c>
      <c r="Y35" s="1702">
        <f>'[19]ยุทธฯ ประยุกต์ใช้เทคโนฯ(เดิม)'!$I$15+'[19]ยุทธฯ ประยุกต์ใช้เทคโนฯ(เดิม)'!$I$17</f>
        <v>1140000</v>
      </c>
      <c r="Z35" s="1703">
        <f>'[13]16.โครงการ รายเดือน'!$EI$20</f>
        <v>0</v>
      </c>
      <c r="AA35" s="1725">
        <f t="shared" si="12"/>
        <v>2660000</v>
      </c>
      <c r="AB35" s="1729">
        <f t="shared" si="6"/>
        <v>0</v>
      </c>
      <c r="AC35" s="1696">
        <f t="shared" si="7"/>
        <v>2660000</v>
      </c>
      <c r="AD35" s="1702"/>
      <c r="AE35" s="1703">
        <f>'[13]16.โครงการ รายเดือน'!$EK$20</f>
        <v>0</v>
      </c>
      <c r="AF35" s="1702">
        <f>'[19]ยุทธฯ ประยุกต์ใช้เทคโนฯ(เดิม)'!$K$16</f>
        <v>490000</v>
      </c>
      <c r="AG35" s="1703">
        <f>'[13]16.โครงการ รายเดือน'!$EM$20</f>
        <v>246500</v>
      </c>
      <c r="AH35" s="1702"/>
      <c r="AI35" s="1703">
        <f>'[13]16.โครงการ รายเดือน'!$EO$20</f>
        <v>0</v>
      </c>
      <c r="AJ35" s="1725">
        <f t="shared" si="37"/>
        <v>490000</v>
      </c>
      <c r="AK35" s="1729">
        <f t="shared" si="20"/>
        <v>246500</v>
      </c>
      <c r="AL35" s="1696">
        <f t="shared" si="21"/>
        <v>243500</v>
      </c>
      <c r="AM35" s="1702"/>
      <c r="AN35" s="1703">
        <f>'[13]16.โครงการ รายเดือน'!$EQ$20</f>
        <v>0</v>
      </c>
      <c r="AO35" s="1702"/>
      <c r="AP35" s="1703">
        <f>'[13]16.โครงการ รายเดือน'!$ES$20</f>
        <v>0</v>
      </c>
      <c r="AQ35" s="1702"/>
      <c r="AR35" s="1703">
        <f>'[13]16.โครงการ รายเดือน'!$EU$20</f>
        <v>0</v>
      </c>
      <c r="AS35" s="1725">
        <f t="shared" si="38"/>
        <v>0</v>
      </c>
      <c r="AT35" s="1729">
        <f t="shared" si="22"/>
        <v>0</v>
      </c>
      <c r="AU35" s="1696">
        <f t="shared" si="23"/>
        <v>0</v>
      </c>
      <c r="AV35" s="1829"/>
      <c r="AW35" s="1725">
        <f t="shared" si="41"/>
        <v>3150000</v>
      </c>
      <c r="AX35" s="1706">
        <f t="shared" si="2"/>
        <v>246500</v>
      </c>
      <c r="AY35" s="1706">
        <f t="shared" si="45"/>
        <v>3150000</v>
      </c>
      <c r="AZ35" s="416">
        <f>AW35-E35</f>
        <v>0</v>
      </c>
    </row>
    <row r="36" spans="1:71" ht="44.25" hidden="1" customHeight="1" x14ac:dyDescent="0.3">
      <c r="A36" s="1666"/>
      <c r="B36" s="1667"/>
      <c r="C36" s="3355" t="s">
        <v>630</v>
      </c>
      <c r="D36" s="3356"/>
      <c r="E36" s="1861">
        <v>2900000</v>
      </c>
      <c r="F36" s="1844"/>
      <c r="G36" s="1882"/>
      <c r="H36" s="1874"/>
      <c r="I36" s="1796"/>
      <c r="J36" s="1874"/>
      <c r="K36" s="1874"/>
      <c r="L36" s="1698"/>
      <c r="M36" s="1699"/>
      <c r="N36" s="1698"/>
      <c r="O36" s="1699"/>
      <c r="P36" s="1698"/>
      <c r="Q36" s="1699"/>
      <c r="R36" s="1725">
        <f t="shared" si="46"/>
        <v>0</v>
      </c>
      <c r="S36" s="1729">
        <f t="shared" si="10"/>
        <v>0</v>
      </c>
      <c r="T36" s="1696">
        <f t="shared" si="11"/>
        <v>0</v>
      </c>
      <c r="U36" s="1698"/>
      <c r="V36" s="1699"/>
      <c r="W36" s="1698"/>
      <c r="X36" s="1699"/>
      <c r="Y36" s="1698"/>
      <c r="Z36" s="1699"/>
      <c r="AA36" s="1725">
        <f t="shared" si="12"/>
        <v>0</v>
      </c>
      <c r="AB36" s="1729">
        <f t="shared" si="6"/>
        <v>0</v>
      </c>
      <c r="AC36" s="1696">
        <f t="shared" si="7"/>
        <v>0</v>
      </c>
      <c r="AD36" s="1698"/>
      <c r="AE36" s="1699"/>
      <c r="AF36" s="1698"/>
      <c r="AG36" s="1699"/>
      <c r="AH36" s="1698"/>
      <c r="AI36" s="1699"/>
      <c r="AJ36" s="1725">
        <f t="shared" si="37"/>
        <v>0</v>
      </c>
      <c r="AK36" s="1729">
        <f t="shared" si="20"/>
        <v>0</v>
      </c>
      <c r="AL36" s="1696">
        <f t="shared" si="21"/>
        <v>0</v>
      </c>
      <c r="AM36" s="1698"/>
      <c r="AN36" s="1699"/>
      <c r="AO36" s="1698"/>
      <c r="AP36" s="1699"/>
      <c r="AQ36" s="1698"/>
      <c r="AR36" s="1699"/>
      <c r="AS36" s="1725">
        <f t="shared" si="38"/>
        <v>0</v>
      </c>
      <c r="AT36" s="1729">
        <f t="shared" si="22"/>
        <v>0</v>
      </c>
      <c r="AU36" s="1696">
        <f t="shared" si="23"/>
        <v>0</v>
      </c>
      <c r="AV36" s="1829"/>
      <c r="AW36" s="1725">
        <f t="shared" si="41"/>
        <v>0</v>
      </c>
      <c r="AX36" s="1707">
        <f t="shared" si="2"/>
        <v>0</v>
      </c>
      <c r="AY36" s="1708">
        <f t="shared" si="45"/>
        <v>2900000</v>
      </c>
    </row>
    <row r="37" spans="1:71" ht="44.25" hidden="1" customHeight="1" x14ac:dyDescent="0.3">
      <c r="A37" s="1666"/>
      <c r="B37" s="1667"/>
      <c r="C37" s="3355" t="s">
        <v>631</v>
      </c>
      <c r="D37" s="3356"/>
      <c r="E37" s="1861">
        <v>250000</v>
      </c>
      <c r="F37" s="1844"/>
      <c r="G37" s="1882"/>
      <c r="H37" s="1874"/>
      <c r="I37" s="1796"/>
      <c r="J37" s="1874"/>
      <c r="K37" s="1874"/>
      <c r="L37" s="1698"/>
      <c r="M37" s="1699"/>
      <c r="N37" s="1698"/>
      <c r="O37" s="1699"/>
      <c r="P37" s="1698"/>
      <c r="Q37" s="1699"/>
      <c r="R37" s="1725">
        <f t="shared" si="46"/>
        <v>0</v>
      </c>
      <c r="S37" s="1729">
        <f t="shared" si="10"/>
        <v>0</v>
      </c>
      <c r="T37" s="1696">
        <f t="shared" si="11"/>
        <v>0</v>
      </c>
      <c r="U37" s="1698"/>
      <c r="V37" s="1699"/>
      <c r="W37" s="1698"/>
      <c r="X37" s="1699"/>
      <c r="Y37" s="1698"/>
      <c r="Z37" s="1699"/>
      <c r="AA37" s="1725">
        <f t="shared" si="12"/>
        <v>0</v>
      </c>
      <c r="AB37" s="1729">
        <f t="shared" si="6"/>
        <v>0</v>
      </c>
      <c r="AC37" s="1696">
        <f t="shared" si="7"/>
        <v>0</v>
      </c>
      <c r="AD37" s="1698"/>
      <c r="AE37" s="1699"/>
      <c r="AF37" s="1698"/>
      <c r="AG37" s="1699"/>
      <c r="AH37" s="1698"/>
      <c r="AI37" s="1699"/>
      <c r="AJ37" s="1725">
        <f t="shared" si="37"/>
        <v>0</v>
      </c>
      <c r="AK37" s="1729">
        <f t="shared" si="20"/>
        <v>0</v>
      </c>
      <c r="AL37" s="1696">
        <f t="shared" si="21"/>
        <v>0</v>
      </c>
      <c r="AM37" s="1698"/>
      <c r="AN37" s="1699"/>
      <c r="AO37" s="1698"/>
      <c r="AP37" s="1699"/>
      <c r="AQ37" s="1698"/>
      <c r="AR37" s="1699"/>
      <c r="AS37" s="1725">
        <f t="shared" si="38"/>
        <v>0</v>
      </c>
      <c r="AT37" s="1729">
        <f t="shared" si="22"/>
        <v>0</v>
      </c>
      <c r="AU37" s="1696">
        <f t="shared" si="23"/>
        <v>0</v>
      </c>
      <c r="AV37" s="1829"/>
      <c r="AW37" s="1725">
        <f t="shared" si="41"/>
        <v>0</v>
      </c>
      <c r="AX37" s="1707">
        <f t="shared" si="2"/>
        <v>0</v>
      </c>
      <c r="AY37" s="1708">
        <f t="shared" si="45"/>
        <v>250000</v>
      </c>
    </row>
    <row r="38" spans="1:71" ht="44.25" hidden="1" customHeight="1" x14ac:dyDescent="0.3">
      <c r="A38" s="1666"/>
      <c r="B38" s="1667"/>
      <c r="C38" s="3355" t="s">
        <v>632</v>
      </c>
      <c r="D38" s="3356"/>
      <c r="E38" s="1861">
        <v>471300</v>
      </c>
      <c r="F38" s="1844"/>
      <c r="G38" s="1882"/>
      <c r="H38" s="1874"/>
      <c r="I38" s="1796"/>
      <c r="J38" s="1874"/>
      <c r="K38" s="1874"/>
      <c r="L38" s="1698"/>
      <c r="M38" s="1699"/>
      <c r="N38" s="1698"/>
      <c r="O38" s="1699"/>
      <c r="P38" s="1698"/>
      <c r="Q38" s="1699"/>
      <c r="R38" s="1725">
        <f t="shared" si="46"/>
        <v>0</v>
      </c>
      <c r="S38" s="1729">
        <f t="shared" si="10"/>
        <v>0</v>
      </c>
      <c r="T38" s="1696">
        <f t="shared" si="11"/>
        <v>0</v>
      </c>
      <c r="U38" s="1698"/>
      <c r="V38" s="1699"/>
      <c r="W38" s="1698"/>
      <c r="X38" s="1699"/>
      <c r="Y38" s="1698"/>
      <c r="Z38" s="1699"/>
      <c r="AA38" s="1725">
        <f t="shared" si="12"/>
        <v>0</v>
      </c>
      <c r="AB38" s="1729">
        <f t="shared" si="6"/>
        <v>0</v>
      </c>
      <c r="AC38" s="1696">
        <f t="shared" si="7"/>
        <v>0</v>
      </c>
      <c r="AD38" s="1698"/>
      <c r="AE38" s="1699"/>
      <c r="AF38" s="1698"/>
      <c r="AG38" s="1699"/>
      <c r="AH38" s="1698"/>
      <c r="AI38" s="1699"/>
      <c r="AJ38" s="1725">
        <f t="shared" si="37"/>
        <v>0</v>
      </c>
      <c r="AK38" s="1729">
        <f t="shared" si="20"/>
        <v>0</v>
      </c>
      <c r="AL38" s="1696">
        <f t="shared" si="21"/>
        <v>0</v>
      </c>
      <c r="AM38" s="1698"/>
      <c r="AN38" s="1699"/>
      <c r="AO38" s="1698"/>
      <c r="AP38" s="1699"/>
      <c r="AQ38" s="1698"/>
      <c r="AR38" s="1699"/>
      <c r="AS38" s="1725">
        <f t="shared" si="38"/>
        <v>0</v>
      </c>
      <c r="AT38" s="1729">
        <f t="shared" si="22"/>
        <v>0</v>
      </c>
      <c r="AU38" s="1696">
        <f t="shared" si="23"/>
        <v>0</v>
      </c>
      <c r="AV38" s="1829"/>
      <c r="AW38" s="1725">
        <f t="shared" si="41"/>
        <v>0</v>
      </c>
      <c r="AX38" s="1707">
        <f t="shared" si="2"/>
        <v>0</v>
      </c>
      <c r="AY38" s="1708">
        <f t="shared" si="45"/>
        <v>471300</v>
      </c>
    </row>
    <row r="39" spans="1:71" ht="44.25" hidden="1" customHeight="1" x14ac:dyDescent="0.3">
      <c r="A39" s="1666"/>
      <c r="B39" s="1667"/>
      <c r="C39" s="3355" t="s">
        <v>633</v>
      </c>
      <c r="D39" s="3356"/>
      <c r="E39" s="1861">
        <v>231300</v>
      </c>
      <c r="F39" s="1844"/>
      <c r="G39" s="1882"/>
      <c r="H39" s="1874"/>
      <c r="I39" s="1796"/>
      <c r="J39" s="1874"/>
      <c r="K39" s="1874"/>
      <c r="L39" s="1698"/>
      <c r="M39" s="1699"/>
      <c r="N39" s="1698"/>
      <c r="O39" s="1699"/>
      <c r="P39" s="1698"/>
      <c r="Q39" s="1699"/>
      <c r="R39" s="1725">
        <f t="shared" si="46"/>
        <v>0</v>
      </c>
      <c r="S39" s="1729">
        <f t="shared" si="10"/>
        <v>0</v>
      </c>
      <c r="T39" s="1696">
        <f t="shared" si="11"/>
        <v>0</v>
      </c>
      <c r="U39" s="1698"/>
      <c r="V39" s="1699"/>
      <c r="W39" s="1698"/>
      <c r="X39" s="1699"/>
      <c r="Y39" s="1698"/>
      <c r="Z39" s="1699"/>
      <c r="AA39" s="1725">
        <f t="shared" si="12"/>
        <v>0</v>
      </c>
      <c r="AB39" s="1729">
        <f t="shared" si="6"/>
        <v>0</v>
      </c>
      <c r="AC39" s="1696">
        <f t="shared" si="7"/>
        <v>0</v>
      </c>
      <c r="AD39" s="1698"/>
      <c r="AE39" s="1699"/>
      <c r="AF39" s="1698"/>
      <c r="AG39" s="1699"/>
      <c r="AH39" s="1698"/>
      <c r="AI39" s="1699"/>
      <c r="AJ39" s="1725">
        <f t="shared" si="37"/>
        <v>0</v>
      </c>
      <c r="AK39" s="1729">
        <f t="shared" si="20"/>
        <v>0</v>
      </c>
      <c r="AL39" s="1696">
        <f t="shared" si="21"/>
        <v>0</v>
      </c>
      <c r="AM39" s="1698"/>
      <c r="AN39" s="1699"/>
      <c r="AO39" s="1698"/>
      <c r="AP39" s="1699"/>
      <c r="AQ39" s="1698"/>
      <c r="AR39" s="1699"/>
      <c r="AS39" s="1725">
        <f t="shared" si="38"/>
        <v>0</v>
      </c>
      <c r="AT39" s="1729">
        <f t="shared" si="22"/>
        <v>0</v>
      </c>
      <c r="AU39" s="1696">
        <f t="shared" si="23"/>
        <v>0</v>
      </c>
      <c r="AV39" s="1829"/>
      <c r="AW39" s="1725">
        <f t="shared" si="41"/>
        <v>0</v>
      </c>
      <c r="AX39" s="1707">
        <f t="shared" si="2"/>
        <v>0</v>
      </c>
      <c r="AY39" s="1708">
        <f t="shared" si="45"/>
        <v>231300</v>
      </c>
    </row>
    <row r="40" spans="1:71" ht="19.5" customHeight="1" x14ac:dyDescent="0.35">
      <c r="A40" s="1693" t="s">
        <v>634</v>
      </c>
      <c r="B40" s="1694"/>
      <c r="C40" s="1694"/>
      <c r="D40" s="1695"/>
      <c r="E40" s="1901">
        <f>E42++E43+E44+E45+E58</f>
        <v>39770400</v>
      </c>
      <c r="F40" s="1902"/>
      <c r="G40" s="1903">
        <f>G46+G47+G50+G54+G55+G58</f>
        <v>10051537</v>
      </c>
      <c r="H40" s="1904"/>
      <c r="I40" s="1927"/>
      <c r="J40" s="1904"/>
      <c r="K40" s="1904"/>
      <c r="L40" s="1905">
        <f>L42+L44+L46+L47+L50+L54+L55+L58</f>
        <v>711500</v>
      </c>
      <c r="M40" s="1905" t="e">
        <f t="shared" ref="M40:AU40" si="47">M42+M44+M46+M47+M50+M54+M55+M58</f>
        <v>#REF!</v>
      </c>
      <c r="N40" s="1905">
        <f t="shared" si="47"/>
        <v>995500</v>
      </c>
      <c r="O40" s="1905" t="e">
        <f t="shared" si="47"/>
        <v>#REF!</v>
      </c>
      <c r="P40" s="1905">
        <f t="shared" si="47"/>
        <v>1034630</v>
      </c>
      <c r="Q40" s="1905" t="e">
        <f t="shared" si="47"/>
        <v>#REF!</v>
      </c>
      <c r="R40" s="1905">
        <f t="shared" ca="1" si="47"/>
        <v>2741630</v>
      </c>
      <c r="S40" s="1905" t="e">
        <f t="shared" si="47"/>
        <v>#REF!</v>
      </c>
      <c r="T40" s="1905">
        <f t="shared" ca="1" si="47"/>
        <v>1094918</v>
      </c>
      <c r="U40" s="1904">
        <f t="shared" si="47"/>
        <v>940050</v>
      </c>
      <c r="V40" s="1904" t="e">
        <f t="shared" si="47"/>
        <v>#REF!</v>
      </c>
      <c r="W40" s="1904">
        <f t="shared" si="47"/>
        <v>124000</v>
      </c>
      <c r="X40" s="1904" t="e">
        <f t="shared" si="47"/>
        <v>#REF!</v>
      </c>
      <c r="Y40" s="1904">
        <f t="shared" si="47"/>
        <v>150000</v>
      </c>
      <c r="Z40" s="1904" t="e">
        <f t="shared" si="47"/>
        <v>#REF!</v>
      </c>
      <c r="AA40" s="1898">
        <f t="shared" si="47"/>
        <v>1214050</v>
      </c>
      <c r="AB40" s="1899" t="e">
        <f t="shared" si="47"/>
        <v>#REF!</v>
      </c>
      <c r="AC40" s="1905" t="e">
        <f t="shared" si="47"/>
        <v>#REF!</v>
      </c>
      <c r="AD40" s="1904">
        <f t="shared" si="47"/>
        <v>914690</v>
      </c>
      <c r="AE40" s="1904" t="e">
        <f t="shared" si="47"/>
        <v>#REF!</v>
      </c>
      <c r="AF40" s="1904">
        <f t="shared" si="47"/>
        <v>946962</v>
      </c>
      <c r="AG40" s="1904" t="e">
        <f t="shared" si="47"/>
        <v>#REF!</v>
      </c>
      <c r="AH40" s="1904">
        <f t="shared" si="47"/>
        <v>1260250</v>
      </c>
      <c r="AI40" s="1904" t="e">
        <f t="shared" si="47"/>
        <v>#REF!</v>
      </c>
      <c r="AJ40" s="1898">
        <f t="shared" si="47"/>
        <v>3121902</v>
      </c>
      <c r="AK40" s="1899" t="e">
        <f t="shared" si="47"/>
        <v>#REF!</v>
      </c>
      <c r="AL40" s="1905" t="e">
        <f t="shared" si="47"/>
        <v>#REF!</v>
      </c>
      <c r="AM40" s="1904">
        <f t="shared" si="47"/>
        <v>1658610</v>
      </c>
      <c r="AN40" s="1904" t="e">
        <f t="shared" si="47"/>
        <v>#REF!</v>
      </c>
      <c r="AO40" s="1904">
        <f t="shared" si="47"/>
        <v>1004947</v>
      </c>
      <c r="AP40" s="1904" t="e">
        <f t="shared" si="47"/>
        <v>#REF!</v>
      </c>
      <c r="AQ40" s="1904">
        <f t="shared" si="47"/>
        <v>858898</v>
      </c>
      <c r="AR40" s="1904" t="e">
        <f t="shared" si="47"/>
        <v>#REF!</v>
      </c>
      <c r="AS40" s="1898">
        <f t="shared" si="47"/>
        <v>3522455</v>
      </c>
      <c r="AT40" s="1899" t="e">
        <f t="shared" si="47"/>
        <v>#REF!</v>
      </c>
      <c r="AU40" s="1905" t="e">
        <f t="shared" si="47"/>
        <v>#REF!</v>
      </c>
      <c r="AV40" s="1906" t="e">
        <f>G40-S40-AB40</f>
        <v>#REF!</v>
      </c>
      <c r="AW40" s="1898">
        <f ca="1">AW42+AW44+AW46+AW47+AW50+AW54+AW55+AW58</f>
        <v>38331900</v>
      </c>
      <c r="AX40" s="1905" t="e">
        <f t="shared" si="2"/>
        <v>#REF!</v>
      </c>
      <c r="AY40" s="1905" t="e">
        <f>E40-AB40-AX40</f>
        <v>#REF!</v>
      </c>
    </row>
    <row r="41" spans="1:71" ht="19.5" customHeight="1" x14ac:dyDescent="0.35">
      <c r="A41" s="1693"/>
      <c r="B41" s="1681" t="s">
        <v>709</v>
      </c>
      <c r="C41" s="1681"/>
      <c r="D41" s="1915"/>
      <c r="E41" s="1911">
        <f>SUM(E42:E43)</f>
        <v>8400000</v>
      </c>
      <c r="F41" s="1912">
        <f>SUM(F42:F43)</f>
        <v>4930000</v>
      </c>
      <c r="G41" s="1916"/>
      <c r="H41" s="1914">
        <f t="shared" ref="H41:Q41" si="48">SUM(H42:H43)</f>
        <v>4930000</v>
      </c>
      <c r="I41" s="1928"/>
      <c r="J41" s="1914"/>
      <c r="K41" s="1914"/>
      <c r="L41" s="1914">
        <f t="shared" si="48"/>
        <v>661500</v>
      </c>
      <c r="M41" s="1914">
        <f t="shared" si="48"/>
        <v>661500</v>
      </c>
      <c r="N41" s="1914">
        <f t="shared" si="48"/>
        <v>661500</v>
      </c>
      <c r="O41" s="1914">
        <f t="shared" si="48"/>
        <v>661500</v>
      </c>
      <c r="P41" s="1914">
        <f t="shared" si="48"/>
        <v>661500</v>
      </c>
      <c r="Q41" s="1914">
        <f t="shared" si="48"/>
        <v>661500</v>
      </c>
      <c r="R41" s="1917">
        <f t="shared" si="46"/>
        <v>1984500</v>
      </c>
      <c r="S41" s="1914">
        <f>SUM(S42:S43)</f>
        <v>1984500</v>
      </c>
      <c r="T41" s="1918">
        <f>R41-S41</f>
        <v>0</v>
      </c>
      <c r="U41" s="1914">
        <f t="shared" ref="U41:Z41" si="49">SUM(U42:U43)</f>
        <v>661500</v>
      </c>
      <c r="V41" s="1914">
        <f t="shared" si="49"/>
        <v>661500</v>
      </c>
      <c r="W41" s="1914">
        <f t="shared" si="49"/>
        <v>719250</v>
      </c>
      <c r="X41" s="1914">
        <f t="shared" si="49"/>
        <v>641500</v>
      </c>
      <c r="Y41" s="1914">
        <f t="shared" si="49"/>
        <v>719250</v>
      </c>
      <c r="Z41" s="1914">
        <f t="shared" si="49"/>
        <v>362285</v>
      </c>
      <c r="AA41" s="1918">
        <f>SUM(U41+W41+Y41)</f>
        <v>2100000</v>
      </c>
      <c r="AB41" s="1914">
        <f>SUM(AB42:AB43)</f>
        <v>1665285</v>
      </c>
      <c r="AC41" s="1918">
        <f>AA41-AB41</f>
        <v>434715</v>
      </c>
      <c r="AD41" s="1913"/>
      <c r="AE41" s="1913"/>
      <c r="AF41" s="1913"/>
      <c r="AG41" s="1913"/>
      <c r="AH41" s="1913"/>
      <c r="AI41" s="1913"/>
      <c r="AJ41" s="1914">
        <f>SUM(AJ42:AJ43)</f>
        <v>2157750</v>
      </c>
      <c r="AK41" s="1914"/>
      <c r="AL41" s="1914"/>
      <c r="AM41" s="1913"/>
      <c r="AN41" s="1913"/>
      <c r="AO41" s="1913"/>
      <c r="AP41" s="1913"/>
      <c r="AQ41" s="1913"/>
      <c r="AR41" s="1913"/>
      <c r="AS41" s="1914">
        <f>SUM(AS42:AS43)</f>
        <v>2157750</v>
      </c>
      <c r="AT41" s="1914"/>
      <c r="AU41" s="1914"/>
      <c r="AV41" s="1918">
        <f>H41-S41-AB41</f>
        <v>1280215</v>
      </c>
      <c r="AW41" s="1918">
        <f t="shared" ref="AW41:AW46" si="50">G41+R41+AA41+AJ41+AS41</f>
        <v>8400000</v>
      </c>
      <c r="AX41" s="1918">
        <f t="shared" si="2"/>
        <v>3649785</v>
      </c>
      <c r="AY41" s="1918">
        <f>E41-S41-AB41</f>
        <v>4750215</v>
      </c>
    </row>
    <row r="42" spans="1:71" ht="23.25" customHeight="1" x14ac:dyDescent="0.3">
      <c r="A42" s="1654"/>
      <c r="B42" s="1681" t="s">
        <v>708</v>
      </c>
      <c r="C42" s="1681"/>
      <c r="D42" s="1682"/>
      <c r="E42" s="1900">
        <f>3540000+500000+960000</f>
        <v>5000000</v>
      </c>
      <c r="F42" s="1845">
        <f>1770000+250000+480000</f>
        <v>2500000</v>
      </c>
      <c r="G42" s="1881"/>
      <c r="H42" s="1869">
        <f>F42-G42</f>
        <v>2500000</v>
      </c>
      <c r="I42" s="1923"/>
      <c r="J42" s="1869"/>
      <c r="K42" s="1869"/>
      <c r="L42" s="1710">
        <v>661500</v>
      </c>
      <c r="M42" s="1711">
        <f>'[9]1.รายการผูกพัน (สัญญาทั้งปี)'!$AP$4</f>
        <v>661500</v>
      </c>
      <c r="N42" s="1710">
        <v>661500</v>
      </c>
      <c r="O42" s="1711">
        <f>'[9]1.รายการผูกพัน (สัญญาทั้งปี)'!$AP$5</f>
        <v>661500</v>
      </c>
      <c r="P42" s="1710">
        <v>661500</v>
      </c>
      <c r="Q42" s="1711">
        <f>'[9]1.รายการผูกพัน (สัญญาทั้งปี)'!$AP$6</f>
        <v>661500</v>
      </c>
      <c r="R42" s="1724">
        <f ca="1">SUM(R41:R43)</f>
        <v>0</v>
      </c>
      <c r="S42" s="1728">
        <f>SUM(M42+O42+Q42)</f>
        <v>1984500</v>
      </c>
      <c r="T42" s="1712">
        <f ca="1">R42-S42</f>
        <v>661500</v>
      </c>
      <c r="U42" s="1710">
        <v>661500</v>
      </c>
      <c r="V42" s="1711">
        <f>'[9]1.รายการผูกพัน (สัญญาทั้งปี)'!$AP$7</f>
        <v>661500</v>
      </c>
      <c r="W42" s="1710">
        <v>0</v>
      </c>
      <c r="X42" s="1711">
        <f>'[9]1.รายการผูกพัน (สัญญาทั้งปี)'!$AP$8</f>
        <v>641500</v>
      </c>
      <c r="Y42" s="1710">
        <v>0</v>
      </c>
      <c r="Z42" s="1711">
        <f>'[9]1.รายการผูกพัน (สัญญาทั้งปี)'!$AP$9</f>
        <v>362285</v>
      </c>
      <c r="AA42" s="1724">
        <f>SUM(U42+W42+Y42)</f>
        <v>661500</v>
      </c>
      <c r="AB42" s="1728">
        <f>SUM(V42+X42+Z42)</f>
        <v>1665285</v>
      </c>
      <c r="AC42" s="1712">
        <f>AA42-AB42</f>
        <v>-1003785</v>
      </c>
      <c r="AD42" s="1710">
        <v>719250</v>
      </c>
      <c r="AE42" s="1711">
        <f>'[9]1.รายการผูกพัน (สัญญาทั้งปี)'!$AP$10</f>
        <v>494025</v>
      </c>
      <c r="AF42" s="1710">
        <v>719250</v>
      </c>
      <c r="AG42" s="1711">
        <f>'[9]1.รายการผูกพัน (สัญญาทั้งปี)'!$AP$11</f>
        <v>2187825</v>
      </c>
      <c r="AH42" s="1710">
        <v>719250</v>
      </c>
      <c r="AI42" s="1711">
        <f>'[9]1.รายการผูกพัน (สัญญาทั้งปี)'!$AP$12</f>
        <v>494025</v>
      </c>
      <c r="AJ42" s="1724">
        <f t="shared" si="37"/>
        <v>2157750</v>
      </c>
      <c r="AK42" s="1728">
        <f t="shared" si="20"/>
        <v>3175875</v>
      </c>
      <c r="AL42" s="1712">
        <f t="shared" si="21"/>
        <v>-1018125</v>
      </c>
      <c r="AM42" s="1710">
        <v>719250</v>
      </c>
      <c r="AN42" s="1711">
        <f>'[9]1.รายการผูกพัน (สัญญาทั้งปี)'!$AP$13</f>
        <v>494025</v>
      </c>
      <c r="AO42" s="1710">
        <v>719250</v>
      </c>
      <c r="AP42" s="1711">
        <f>'[9]1.รายการผูกพัน (สัญญาทั้งปี)'!$AP$14</f>
        <v>494025</v>
      </c>
      <c r="AQ42" s="1710">
        <v>719250</v>
      </c>
      <c r="AR42" s="1711">
        <f>'[9]1.รายการผูกพัน (สัญญาทั้งปี)'!$AP$15</f>
        <v>494025</v>
      </c>
      <c r="AS42" s="1724">
        <f t="shared" si="38"/>
        <v>2157750</v>
      </c>
      <c r="AT42" s="1728">
        <f t="shared" si="22"/>
        <v>1482075</v>
      </c>
      <c r="AU42" s="1712">
        <f t="shared" si="23"/>
        <v>675675</v>
      </c>
      <c r="AV42" s="1786">
        <f>H42-S42-AB42</f>
        <v>-1149785</v>
      </c>
      <c r="AW42" s="1724">
        <f t="shared" ca="1" si="50"/>
        <v>6961500</v>
      </c>
      <c r="AX42" s="1722">
        <f t="shared" si="2"/>
        <v>8307735</v>
      </c>
      <c r="AY42" s="1722">
        <f>E42-S42-AB42</f>
        <v>1350215</v>
      </c>
    </row>
    <row r="43" spans="1:71" ht="23.25" customHeight="1" x14ac:dyDescent="0.3">
      <c r="A43" s="1654"/>
      <c r="B43" s="1681" t="s">
        <v>707</v>
      </c>
      <c r="C43" s="1681"/>
      <c r="D43" s="1682"/>
      <c r="E43" s="1862">
        <f>4860000-500000-960000</f>
        <v>3400000</v>
      </c>
      <c r="F43" s="1845">
        <f>2430000</f>
        <v>2430000</v>
      </c>
      <c r="G43" s="1881"/>
      <c r="H43" s="1869">
        <f>F43-G43</f>
        <v>2430000</v>
      </c>
      <c r="I43" s="1923"/>
      <c r="J43" s="1869"/>
      <c r="K43" s="1869"/>
      <c r="L43" s="1710"/>
      <c r="M43" s="1711"/>
      <c r="N43" s="1710"/>
      <c r="O43" s="1711"/>
      <c r="P43" s="1710"/>
      <c r="Q43" s="1711"/>
      <c r="R43" s="1724"/>
      <c r="S43" s="1728"/>
      <c r="T43" s="1712"/>
      <c r="U43" s="1710"/>
      <c r="V43" s="1711"/>
      <c r="W43" s="1710">
        <v>719250</v>
      </c>
      <c r="X43" s="1711"/>
      <c r="Y43" s="1710">
        <v>719250</v>
      </c>
      <c r="Z43" s="1711"/>
      <c r="AA43" s="1724">
        <f>SUM(U43+W43+Y43)</f>
        <v>1438500</v>
      </c>
      <c r="AB43" s="1728"/>
      <c r="AC43" s="1712"/>
      <c r="AD43" s="1710"/>
      <c r="AE43" s="1711"/>
      <c r="AF43" s="1710"/>
      <c r="AG43" s="1711"/>
      <c r="AH43" s="1710"/>
      <c r="AI43" s="1711"/>
      <c r="AJ43" s="1724"/>
      <c r="AK43" s="1728"/>
      <c r="AL43" s="1712"/>
      <c r="AM43" s="1710"/>
      <c r="AN43" s="1711"/>
      <c r="AO43" s="1710"/>
      <c r="AP43" s="1711"/>
      <c r="AQ43" s="1710"/>
      <c r="AR43" s="1711"/>
      <c r="AS43" s="1724"/>
      <c r="AT43" s="1728"/>
      <c r="AU43" s="1712"/>
      <c r="AV43" s="1786">
        <f>H43-S43-AB43</f>
        <v>2430000</v>
      </c>
      <c r="AW43" s="1724">
        <f t="shared" si="50"/>
        <v>1438500</v>
      </c>
      <c r="AX43" s="1722">
        <f t="shared" si="2"/>
        <v>0</v>
      </c>
      <c r="AY43" s="1722">
        <f>E43-S43-AB43</f>
        <v>3400000</v>
      </c>
    </row>
    <row r="44" spans="1:71" ht="35.25" customHeight="1" x14ac:dyDescent="0.3">
      <c r="A44" s="1654"/>
      <c r="B44" s="3344" t="s">
        <v>666</v>
      </c>
      <c r="C44" s="3344"/>
      <c r="D44" s="3345"/>
      <c r="E44" s="1862">
        <v>2300000</v>
      </c>
      <c r="F44" s="1846">
        <v>1150000</v>
      </c>
      <c r="G44" s="1882"/>
      <c r="H44" s="1872">
        <f>F44-G44</f>
        <v>1150000</v>
      </c>
      <c r="I44" s="1696">
        <v>200000</v>
      </c>
      <c r="J44" s="1872"/>
      <c r="K44" s="1872"/>
      <c r="L44" s="1698">
        <f>'[19]ยุทธฯ ประยุกต์ใช้เทคโนฯ(เดิม)'!$D$22</f>
        <v>45000</v>
      </c>
      <c r="M44" s="1699">
        <f>'[13]16.โครงการ รายเดือน'!$DX$20</f>
        <v>0</v>
      </c>
      <c r="N44" s="1698">
        <f>'[19]ยุทธฯ ประยุกต์ใช้เทคโนฯ(เดิม)'!$E$22</f>
        <v>45000</v>
      </c>
      <c r="O44" s="1699">
        <f>'[13]16.โครงการ รายเดือน'!$DZ$20</f>
        <v>0</v>
      </c>
      <c r="P44" s="1698">
        <f>'[19]ยุทธฯ ประยุกต์ใช้เทคโนฯ(เดิม)'!$F$22</f>
        <v>45000</v>
      </c>
      <c r="Q44" s="1699">
        <f>'[13]16.โครงการ รายเดือน'!$EB$20</f>
        <v>0</v>
      </c>
      <c r="R44" s="1725">
        <f t="shared" si="46"/>
        <v>135000</v>
      </c>
      <c r="S44" s="1729">
        <f t="shared" si="10"/>
        <v>0</v>
      </c>
      <c r="T44" s="1696">
        <f t="shared" si="11"/>
        <v>135000</v>
      </c>
      <c r="U44" s="1698">
        <f>'[19]ยุทธฯ ประยุกต์ใช้เทคโนฯ(เดิม)'!$G$22+'[19]ยุทธฯ ประยุกต์ใช้เทคโนฯ(เดิม)'!$G$26</f>
        <v>245000</v>
      </c>
      <c r="V44" s="1699">
        <f>'[13]16.โครงการ รายเดือน'!$ED$20</f>
        <v>0</v>
      </c>
      <c r="W44" s="1698">
        <f>'[19]ยุทธฯ ประยุกต์ใช้เทคโนฯ(เดิม)'!$H$22</f>
        <v>45000</v>
      </c>
      <c r="X44" s="1699">
        <f>'[13]16.โครงการ รายเดือน'!$EF$20</f>
        <v>30000</v>
      </c>
      <c r="Y44" s="1698">
        <f>'[19]ยุทธฯ ประยุกต์ใช้เทคโนฯ(เดิม)'!$I$19+'[19]ยุทธฯ ประยุกต์ใช้เทคโนฯ(เดิม)'!$I$22</f>
        <v>145000</v>
      </c>
      <c r="Z44" s="1699">
        <f>'[13]16.โครงการ รายเดือน'!$EH$20</f>
        <v>264800.8</v>
      </c>
      <c r="AA44" s="1725">
        <f t="shared" si="12"/>
        <v>435000</v>
      </c>
      <c r="AB44" s="1729">
        <f t="shared" si="6"/>
        <v>294800.8</v>
      </c>
      <c r="AC44" s="1696">
        <f t="shared" si="7"/>
        <v>140199.20000000001</v>
      </c>
      <c r="AD44" s="1698">
        <f>'[19]ยุทธฯ ประยุกต์ใช้เทคโนฯ(เดิม)'!$J$22</f>
        <v>45000</v>
      </c>
      <c r="AE44" s="1699">
        <f>'[13]16.โครงการ รายเดือน'!$EJ$20</f>
        <v>51930</v>
      </c>
      <c r="AF44" s="1698">
        <f>'[19]ยุทธฯ ประยุกต์ใช้เทคโนฯ(เดิม)'!$K$22+'[19]ยุทธฯ ประยุกต์ใช้เทคโนฯ(เดิม)'!$K$23</f>
        <v>152000</v>
      </c>
      <c r="AG44" s="1699">
        <f>'[13]16.โครงการ รายเดือน'!$EL$20</f>
        <v>238551.9</v>
      </c>
      <c r="AH44" s="1698">
        <f>'[19]ยุทธฯ ประยุกต์ใช้เทคโนฯ(เดิม)'!$L$22+'[19]ยุทธฯ ประยุกต์ใช้เทคโนฯ(เดิม)'!$L$23+'[19]ยุทธฯ ประยุกต์ใช้เทคโนฯ(เดิม)'!$L$27+'[19]ยุทธฯ ประยุกต์ใช้เทคโนฯ(เดิม)'!$L$28</f>
        <v>521000</v>
      </c>
      <c r="AI44" s="1699">
        <f>'[13]16.โครงการ รายเดือน'!$EN$20</f>
        <v>562208.19999999995</v>
      </c>
      <c r="AJ44" s="1725">
        <f t="shared" si="37"/>
        <v>718000</v>
      </c>
      <c r="AK44" s="1729">
        <f t="shared" si="20"/>
        <v>852690.1</v>
      </c>
      <c r="AL44" s="1696">
        <f t="shared" si="21"/>
        <v>-134690.09999999998</v>
      </c>
      <c r="AM44" s="1698">
        <f>'[19]ยุทธฯ ประยุกต์ใช้เทคโนฯ(เดิม)'!$M$22+'[19]ยุทธฯ ประยุกต์ใช้เทคโนฯ(เดิม)'!$M$23+'[19]ยุทธฯ ประยุกต์ใช้เทคโนฯ(เดิม)'!$M$25+'[19]ยุทธฯ ประยุกต์ใช้เทคโนฯ(เดิม)'!$M$26+'[19]ยุทธฯ ประยุกต์ใช้เทคโนฯ(เดิม)'!$M$27</f>
        <v>727000</v>
      </c>
      <c r="AN44" s="1699">
        <f>'[13]16.โครงการ รายเดือน'!$EP$20</f>
        <v>451026</v>
      </c>
      <c r="AO44" s="1698">
        <f>'[19]ยุทธฯ ประยุกต์ใช้เทคโนฯ(เดิม)'!$N$22+'[19]ยุทธฯ ประยุกต์ใช้เทคโนฯ(เดิม)'!$N$23+'[19]ยุทธฯ ประยุกต์ใช้เทคโนฯ(เดิม)'!$N$28</f>
        <v>164000</v>
      </c>
      <c r="AP44" s="1699">
        <f>'[13]16.โครงการ รายเดือน'!$ER$20</f>
        <v>0</v>
      </c>
      <c r="AQ44" s="1698">
        <f>'[19]ยุทธฯ ประยุกต์ใช้เทคโนฯ(เดิม)'!$O$22+'[19]ยุทธฯ ประยุกต์ใช้เทคโนฯ(เดิม)'!$O$24</f>
        <v>121000</v>
      </c>
      <c r="AR44" s="1699">
        <f>'[13]16.โครงการ รายเดือน'!$ET$20</f>
        <v>0</v>
      </c>
      <c r="AS44" s="1725">
        <f t="shared" si="38"/>
        <v>1012000</v>
      </c>
      <c r="AT44" s="1729">
        <f t="shared" si="22"/>
        <v>451026</v>
      </c>
      <c r="AU44" s="1696">
        <f t="shared" si="23"/>
        <v>560974</v>
      </c>
      <c r="AV44" s="1829">
        <f>H44-S44-AB44</f>
        <v>855199.2</v>
      </c>
      <c r="AW44" s="1725">
        <f t="shared" si="50"/>
        <v>2300000</v>
      </c>
      <c r="AX44" s="1709">
        <f t="shared" si="2"/>
        <v>1598516.9</v>
      </c>
      <c r="AY44" s="1709">
        <f>E44-S44-AB44</f>
        <v>2005199.2</v>
      </c>
    </row>
    <row r="45" spans="1:71" ht="33" customHeight="1" x14ac:dyDescent="0.3">
      <c r="A45" s="1652"/>
      <c r="B45" s="3344" t="s">
        <v>667</v>
      </c>
      <c r="C45" s="3344"/>
      <c r="D45" s="3345"/>
      <c r="E45" s="1862">
        <f>E46+E47+E50+E54+E55</f>
        <v>18367400</v>
      </c>
      <c r="F45" s="1846"/>
      <c r="G45" s="1882"/>
      <c r="H45" s="1872"/>
      <c r="I45" s="1796"/>
      <c r="J45" s="1872"/>
      <c r="K45" s="1872"/>
      <c r="L45" s="1698"/>
      <c r="M45" s="1699"/>
      <c r="N45" s="1698"/>
      <c r="O45" s="1699"/>
      <c r="P45" s="1698"/>
      <c r="Q45" s="1699"/>
      <c r="R45" s="1725">
        <f t="shared" si="46"/>
        <v>0</v>
      </c>
      <c r="S45" s="1729">
        <f t="shared" si="10"/>
        <v>0</v>
      </c>
      <c r="T45" s="1696">
        <f t="shared" si="11"/>
        <v>0</v>
      </c>
      <c r="U45" s="1698"/>
      <c r="V45" s="1699"/>
      <c r="W45" s="1698"/>
      <c r="X45" s="1699"/>
      <c r="Y45" s="1698"/>
      <c r="Z45" s="1699"/>
      <c r="AA45" s="1725">
        <f t="shared" si="12"/>
        <v>0</v>
      </c>
      <c r="AB45" s="1729">
        <f t="shared" si="6"/>
        <v>0</v>
      </c>
      <c r="AC45" s="1696">
        <f t="shared" si="7"/>
        <v>0</v>
      </c>
      <c r="AD45" s="1698"/>
      <c r="AE45" s="1699"/>
      <c r="AF45" s="1698"/>
      <c r="AG45" s="1699"/>
      <c r="AH45" s="1698"/>
      <c r="AI45" s="1699"/>
      <c r="AJ45" s="1725">
        <f t="shared" si="37"/>
        <v>0</v>
      </c>
      <c r="AK45" s="1729">
        <f t="shared" si="20"/>
        <v>0</v>
      </c>
      <c r="AL45" s="1696">
        <f t="shared" si="21"/>
        <v>0</v>
      </c>
      <c r="AM45" s="1698"/>
      <c r="AN45" s="1699"/>
      <c r="AO45" s="1698"/>
      <c r="AP45" s="1699"/>
      <c r="AQ45" s="1698"/>
      <c r="AR45" s="1699"/>
      <c r="AS45" s="1725">
        <f t="shared" si="38"/>
        <v>0</v>
      </c>
      <c r="AT45" s="1729">
        <f t="shared" si="22"/>
        <v>0</v>
      </c>
      <c r="AU45" s="1696">
        <f t="shared" si="23"/>
        <v>0</v>
      </c>
      <c r="AV45" s="1829"/>
      <c r="AW45" s="1725">
        <f t="shared" si="50"/>
        <v>0</v>
      </c>
      <c r="AX45" s="1709">
        <f t="shared" si="2"/>
        <v>0</v>
      </c>
      <c r="AY45" s="1709">
        <f>E45-S45-AB45</f>
        <v>18367400</v>
      </c>
      <c r="AZ45" s="1734" t="s">
        <v>671</v>
      </c>
    </row>
    <row r="46" spans="1:71" s="1618" customFormat="1" ht="30" customHeight="1" x14ac:dyDescent="0.3">
      <c r="A46" s="1654"/>
      <c r="B46" s="1681"/>
      <c r="C46" s="3342" t="s">
        <v>640</v>
      </c>
      <c r="D46" s="3343"/>
      <c r="E46" s="1862">
        <v>1500000</v>
      </c>
      <c r="F46" s="1846">
        <v>1402300</v>
      </c>
      <c r="G46" s="1886">
        <v>1123583</v>
      </c>
      <c r="H46" s="1708">
        <f>F46-G46</f>
        <v>278717</v>
      </c>
      <c r="I46" s="1696">
        <v>0</v>
      </c>
      <c r="J46" s="1708"/>
      <c r="K46" s="1708"/>
      <c r="L46" s="1815">
        <v>0</v>
      </c>
      <c r="M46" s="1816" t="e">
        <f>#REF!</f>
        <v>#REF!</v>
      </c>
      <c r="N46" s="1815">
        <f>'[19]ยุทธฯ จัดทำสารสนเทศฯ'!$E$13+'[19]ยุทธฯ จัดทำสารสนเทศฯ'!$E$14</f>
        <v>230000</v>
      </c>
      <c r="O46" s="1816" t="e">
        <f>#REF!</f>
        <v>#REF!</v>
      </c>
      <c r="P46" s="1815">
        <f>'[19]ยุทธฯ จัดทำสารสนเทศฯ'!$F$18</f>
        <v>48720</v>
      </c>
      <c r="Q46" s="1816" t="e">
        <f>#REF!</f>
        <v>#REF!</v>
      </c>
      <c r="R46" s="1725">
        <f t="shared" si="46"/>
        <v>278720</v>
      </c>
      <c r="S46" s="1729" t="e">
        <f t="shared" si="10"/>
        <v>#REF!</v>
      </c>
      <c r="T46" s="1696" t="e">
        <f t="shared" si="11"/>
        <v>#REF!</v>
      </c>
      <c r="U46" s="1815"/>
      <c r="V46" s="1816" t="e">
        <f>#REF!</f>
        <v>#REF!</v>
      </c>
      <c r="W46" s="1815"/>
      <c r="X46" s="1816" t="e">
        <f>#REF!</f>
        <v>#REF!</v>
      </c>
      <c r="Y46" s="1815"/>
      <c r="Z46" s="1816" t="e">
        <f>#REF!</f>
        <v>#REF!</v>
      </c>
      <c r="AA46" s="1725">
        <f>SUM(U46+W46+Y46)</f>
        <v>0</v>
      </c>
      <c r="AB46" s="1729" t="e">
        <f t="shared" si="6"/>
        <v>#REF!</v>
      </c>
      <c r="AC46" s="1696" t="e">
        <f t="shared" si="7"/>
        <v>#REF!</v>
      </c>
      <c r="AD46" s="1815"/>
      <c r="AE46" s="1816" t="e">
        <f>#REF!</f>
        <v>#REF!</v>
      </c>
      <c r="AF46" s="1815"/>
      <c r="AG46" s="1816" t="e">
        <f>#REF!</f>
        <v>#REF!</v>
      </c>
      <c r="AH46" s="1815"/>
      <c r="AI46" s="1816" t="e">
        <f>#REF!</f>
        <v>#REF!</v>
      </c>
      <c r="AJ46" s="1725">
        <f>SUM(AD46+AF46+AH46)</f>
        <v>0</v>
      </c>
      <c r="AK46" s="1729" t="e">
        <f t="shared" si="20"/>
        <v>#REF!</v>
      </c>
      <c r="AL46" s="1696" t="e">
        <f t="shared" si="21"/>
        <v>#REF!</v>
      </c>
      <c r="AM46" s="1815">
        <f>'[19]ยุทธฯ จัดทำสารสนเทศฯ'!$M$20</f>
        <v>50000</v>
      </c>
      <c r="AN46" s="1816" t="e">
        <f>#REF!</f>
        <v>#REF!</v>
      </c>
      <c r="AO46" s="1815">
        <f>'[19]ยุทธฯ จัดทำสารสนเทศฯ'!$N$20</f>
        <v>47697</v>
      </c>
      <c r="AP46" s="1816" t="e">
        <f>#REF!</f>
        <v>#REF!</v>
      </c>
      <c r="AQ46" s="1815"/>
      <c r="AR46" s="1816" t="e">
        <f>#REF!</f>
        <v>#REF!</v>
      </c>
      <c r="AS46" s="1725">
        <f t="shared" si="38"/>
        <v>97697</v>
      </c>
      <c r="AT46" s="1729" t="e">
        <f t="shared" si="22"/>
        <v>#REF!</v>
      </c>
      <c r="AU46" s="1696" t="e">
        <f t="shared" si="23"/>
        <v>#REF!</v>
      </c>
      <c r="AV46" s="1829" t="e">
        <f t="shared" ref="AV46:AV61" si="51">H46-S46-AB46</f>
        <v>#REF!</v>
      </c>
      <c r="AW46" s="1725">
        <f t="shared" si="50"/>
        <v>1500000</v>
      </c>
      <c r="AX46" s="1709" t="e">
        <f t="shared" si="2"/>
        <v>#REF!</v>
      </c>
      <c r="AY46" s="1709" t="e">
        <f t="shared" ref="AY46:AY53" si="52">E46-AX46</f>
        <v>#REF!</v>
      </c>
      <c r="AZ46" s="1774"/>
      <c r="BA46" s="385"/>
      <c r="BB46" s="385"/>
      <c r="BC46" s="385"/>
      <c r="BD46" s="385"/>
      <c r="BE46" s="385"/>
      <c r="BF46" s="1817"/>
      <c r="BG46" s="1817"/>
      <c r="BH46" s="1817"/>
      <c r="BI46" s="1817"/>
      <c r="BJ46" s="1817"/>
      <c r="BK46" s="1817"/>
      <c r="BL46" s="1817"/>
      <c r="BM46" s="1817"/>
      <c r="BN46" s="1817"/>
      <c r="BO46" s="1817"/>
      <c r="BP46" s="1817"/>
      <c r="BQ46" s="1817"/>
      <c r="BR46" s="1817"/>
      <c r="BS46" s="1817"/>
    </row>
    <row r="47" spans="1:71" s="1618" customFormat="1" ht="37.5" customHeight="1" x14ac:dyDescent="0.3">
      <c r="A47" s="1654"/>
      <c r="B47" s="1681"/>
      <c r="C47" s="3342" t="s">
        <v>636</v>
      </c>
      <c r="D47" s="3343"/>
      <c r="E47" s="1862">
        <v>4000000</v>
      </c>
      <c r="F47" s="1846">
        <f>SUM(F48:F49)</f>
        <v>2730400</v>
      </c>
      <c r="G47" s="1886">
        <f>SUM(G48:G49)</f>
        <v>2717184</v>
      </c>
      <c r="H47" s="1708">
        <f>F47-G47</f>
        <v>13216</v>
      </c>
      <c r="I47" s="1696">
        <v>677900</v>
      </c>
      <c r="J47" s="1708"/>
      <c r="K47" s="1708"/>
      <c r="L47" s="1815"/>
      <c r="M47" s="1816"/>
      <c r="N47" s="1815"/>
      <c r="O47" s="1816"/>
      <c r="P47" s="1815"/>
      <c r="Q47" s="1816"/>
      <c r="R47" s="1725">
        <f t="shared" si="46"/>
        <v>0</v>
      </c>
      <c r="S47" s="1729" t="e">
        <f>SUM(S48:S49)</f>
        <v>#REF!</v>
      </c>
      <c r="T47" s="1696" t="e">
        <f t="shared" si="11"/>
        <v>#REF!</v>
      </c>
      <c r="U47" s="1815"/>
      <c r="V47" s="1816"/>
      <c r="W47" s="1815"/>
      <c r="X47" s="1816"/>
      <c r="Y47" s="1815"/>
      <c r="Z47" s="1816"/>
      <c r="AA47" s="1725">
        <f t="shared" si="12"/>
        <v>0</v>
      </c>
      <c r="AB47" s="1729">
        <f t="shared" si="6"/>
        <v>0</v>
      </c>
      <c r="AC47" s="1696">
        <f t="shared" si="7"/>
        <v>0</v>
      </c>
      <c r="AD47" s="1815"/>
      <c r="AE47" s="1816"/>
      <c r="AF47" s="1815"/>
      <c r="AG47" s="1816"/>
      <c r="AH47" s="1815"/>
      <c r="AI47" s="1816"/>
      <c r="AJ47" s="1725">
        <f t="shared" si="37"/>
        <v>0</v>
      </c>
      <c r="AK47" s="1729">
        <f t="shared" si="20"/>
        <v>0</v>
      </c>
      <c r="AL47" s="1696">
        <f t="shared" si="21"/>
        <v>0</v>
      </c>
      <c r="AM47" s="1815">
        <f>SUM(AM48:AM49)</f>
        <v>142360</v>
      </c>
      <c r="AN47" s="1816"/>
      <c r="AO47" s="1815"/>
      <c r="AP47" s="1816"/>
      <c r="AQ47" s="1815"/>
      <c r="AR47" s="1816"/>
      <c r="AS47" s="1725">
        <f t="shared" si="38"/>
        <v>142360</v>
      </c>
      <c r="AT47" s="1729">
        <f t="shared" si="22"/>
        <v>0</v>
      </c>
      <c r="AU47" s="1696">
        <f t="shared" si="23"/>
        <v>142360</v>
      </c>
      <c r="AV47" s="1829" t="e">
        <f t="shared" si="51"/>
        <v>#REF!</v>
      </c>
      <c r="AW47" s="1725">
        <f>3857640+R47+AA47+AJ47+AS47</f>
        <v>4000000</v>
      </c>
      <c r="AX47" s="1709" t="e">
        <f>SUM(AX48:AX49)</f>
        <v>#REF!</v>
      </c>
      <c r="AY47" s="1709" t="e">
        <f t="shared" si="52"/>
        <v>#REF!</v>
      </c>
      <c r="AZ47" s="1826" t="s">
        <v>672</v>
      </c>
      <c r="BA47" s="1639"/>
      <c r="BB47" s="1639"/>
      <c r="BC47" s="1639"/>
      <c r="BD47" s="1639"/>
      <c r="BE47" s="1639"/>
      <c r="BF47" s="1817"/>
      <c r="BG47" s="1817"/>
      <c r="BH47" s="1817"/>
      <c r="BI47" s="1817"/>
      <c r="BJ47" s="1817"/>
      <c r="BK47" s="1817"/>
      <c r="BL47" s="1817"/>
      <c r="BM47" s="1817"/>
      <c r="BN47" s="1817"/>
      <c r="BO47" s="1817"/>
      <c r="BP47" s="1817"/>
      <c r="BQ47" s="1817"/>
      <c r="BR47" s="1817"/>
      <c r="BS47" s="1817"/>
    </row>
    <row r="48" spans="1:71" ht="20.25" customHeight="1" x14ac:dyDescent="0.3">
      <c r="A48" s="1652"/>
      <c r="B48" s="1683"/>
      <c r="C48" s="1683"/>
      <c r="D48" s="1818" t="s">
        <v>635</v>
      </c>
      <c r="E48" s="1863">
        <v>2000000</v>
      </c>
      <c r="F48" s="1847">
        <f>1256132+6608</f>
        <v>1262740</v>
      </c>
      <c r="G48" s="1882">
        <v>1249524</v>
      </c>
      <c r="H48" s="1870">
        <f>F48-G48</f>
        <v>13216</v>
      </c>
      <c r="I48" s="1796"/>
      <c r="J48" s="1870"/>
      <c r="K48" s="1870"/>
      <c r="L48" s="1698"/>
      <c r="M48" s="1703" t="e">
        <f>#REF!</f>
        <v>#REF!</v>
      </c>
      <c r="N48" s="1698">
        <v>0</v>
      </c>
      <c r="O48" s="1699" t="e">
        <f>#REF!</f>
        <v>#REF!</v>
      </c>
      <c r="P48" s="1698">
        <v>0</v>
      </c>
      <c r="Q48" s="1699" t="e">
        <f>#REF!</f>
        <v>#REF!</v>
      </c>
      <c r="R48" s="1794">
        <f t="shared" si="46"/>
        <v>0</v>
      </c>
      <c r="S48" s="1795" t="e">
        <f t="shared" si="10"/>
        <v>#REF!</v>
      </c>
      <c r="T48" s="1796" t="e">
        <f t="shared" si="11"/>
        <v>#REF!</v>
      </c>
      <c r="U48" s="1698">
        <v>0</v>
      </c>
      <c r="V48" s="1699" t="e">
        <f>#REF!</f>
        <v>#REF!</v>
      </c>
      <c r="W48" s="1698">
        <v>0</v>
      </c>
      <c r="X48" s="1699" t="e">
        <f>#REF!</f>
        <v>#REF!</v>
      </c>
      <c r="Y48" s="1698"/>
      <c r="Z48" s="1699" t="e">
        <f>#REF!</f>
        <v>#REF!</v>
      </c>
      <c r="AA48" s="1794">
        <f>SUM(R48+U48+W48+Y48)</f>
        <v>0</v>
      </c>
      <c r="AB48" s="1795" t="e">
        <f t="shared" si="6"/>
        <v>#REF!</v>
      </c>
      <c r="AC48" s="1796" t="e">
        <f t="shared" si="7"/>
        <v>#REF!</v>
      </c>
      <c r="AD48" s="1698"/>
      <c r="AE48" s="1699" t="e">
        <f>#REF!</f>
        <v>#REF!</v>
      </c>
      <c r="AF48" s="1698">
        <v>0</v>
      </c>
      <c r="AG48" s="1699" t="e">
        <f>#REF!</f>
        <v>#REF!</v>
      </c>
      <c r="AH48" s="1698">
        <v>0</v>
      </c>
      <c r="AI48" s="1699" t="e">
        <f>#REF!</f>
        <v>#REF!</v>
      </c>
      <c r="AJ48" s="1794"/>
      <c r="AK48" s="1795" t="e">
        <f t="shared" si="20"/>
        <v>#REF!</v>
      </c>
      <c r="AL48" s="1796" t="e">
        <f t="shared" si="21"/>
        <v>#REF!</v>
      </c>
      <c r="AM48" s="1698">
        <v>71180</v>
      </c>
      <c r="AN48" s="1699" t="e">
        <f>#REF!</f>
        <v>#REF!</v>
      </c>
      <c r="AO48" s="1698"/>
      <c r="AP48" s="1699" t="e">
        <f>#REF!</f>
        <v>#REF!</v>
      </c>
      <c r="AQ48" s="1698"/>
      <c r="AR48" s="1699" t="e">
        <f>#REF!</f>
        <v>#REF!</v>
      </c>
      <c r="AS48" s="1794">
        <f t="shared" si="38"/>
        <v>71180</v>
      </c>
      <c r="AT48" s="1795" t="e">
        <f t="shared" si="22"/>
        <v>#REF!</v>
      </c>
      <c r="AU48" s="1796" t="e">
        <f t="shared" si="23"/>
        <v>#REF!</v>
      </c>
      <c r="AV48" s="1833" t="e">
        <f t="shared" si="51"/>
        <v>#REF!</v>
      </c>
      <c r="AW48" s="1794">
        <f>1928820+R48+AA48+AJ48+AS48</f>
        <v>2000000</v>
      </c>
      <c r="AX48" s="1819" t="e">
        <f t="shared" ref="AX48:AX61" si="53">G48+S48+AB48+AK48+AT48</f>
        <v>#REF!</v>
      </c>
      <c r="AY48" s="1819" t="e">
        <f t="shared" si="52"/>
        <v>#REF!</v>
      </c>
    </row>
    <row r="49" spans="1:71" ht="20.25" customHeight="1" x14ac:dyDescent="0.3">
      <c r="A49" s="1652"/>
      <c r="B49" s="1683"/>
      <c r="C49" s="1683"/>
      <c r="D49" s="1818" t="s">
        <v>1</v>
      </c>
      <c r="E49" s="1863">
        <v>2000000</v>
      </c>
      <c r="F49" s="1847">
        <v>1467660</v>
      </c>
      <c r="G49" s="1882">
        <v>1467660</v>
      </c>
      <c r="H49" s="1870">
        <f>F49-G49</f>
        <v>0</v>
      </c>
      <c r="I49" s="1796"/>
      <c r="J49" s="1870"/>
      <c r="K49" s="1870"/>
      <c r="L49" s="1698"/>
      <c r="M49" s="1699" t="e">
        <f>#REF!</f>
        <v>#REF!</v>
      </c>
      <c r="N49" s="1698"/>
      <c r="O49" s="1699" t="e">
        <f>#REF!</f>
        <v>#REF!</v>
      </c>
      <c r="P49" s="1698"/>
      <c r="Q49" s="1699" t="e">
        <f>#REF!</f>
        <v>#REF!</v>
      </c>
      <c r="R49" s="1794">
        <f t="shared" si="46"/>
        <v>0</v>
      </c>
      <c r="S49" s="1795" t="e">
        <f t="shared" si="10"/>
        <v>#REF!</v>
      </c>
      <c r="T49" s="1796" t="e">
        <f t="shared" si="11"/>
        <v>#REF!</v>
      </c>
      <c r="U49" s="1698"/>
      <c r="V49" s="1699" t="e">
        <f>#REF!</f>
        <v>#REF!</v>
      </c>
      <c r="W49" s="1698"/>
      <c r="X49" s="1699" t="e">
        <f>#REF!</f>
        <v>#REF!</v>
      </c>
      <c r="Y49" s="1698"/>
      <c r="Z49" s="1699" t="e">
        <f>#REF!</f>
        <v>#REF!</v>
      </c>
      <c r="AA49" s="1794">
        <f t="shared" si="12"/>
        <v>0</v>
      </c>
      <c r="AB49" s="1795" t="e">
        <f t="shared" si="6"/>
        <v>#REF!</v>
      </c>
      <c r="AC49" s="1796" t="e">
        <f t="shared" si="7"/>
        <v>#REF!</v>
      </c>
      <c r="AD49" s="1698"/>
      <c r="AE49" s="1699" t="e">
        <f>#REF!</f>
        <v>#REF!</v>
      </c>
      <c r="AF49" s="1698"/>
      <c r="AG49" s="1699" t="e">
        <f>#REF!</f>
        <v>#REF!</v>
      </c>
      <c r="AH49" s="1698"/>
      <c r="AI49" s="1699" t="e">
        <f>#REF!</f>
        <v>#REF!</v>
      </c>
      <c r="AJ49" s="1794">
        <f t="shared" si="37"/>
        <v>0</v>
      </c>
      <c r="AK49" s="1795" t="e">
        <f t="shared" si="20"/>
        <v>#REF!</v>
      </c>
      <c r="AL49" s="1796" t="e">
        <f t="shared" si="21"/>
        <v>#REF!</v>
      </c>
      <c r="AM49" s="1698">
        <v>71180</v>
      </c>
      <c r="AN49" s="1699" t="e">
        <f>#REF!</f>
        <v>#REF!</v>
      </c>
      <c r="AO49" s="1698"/>
      <c r="AP49" s="1699" t="e">
        <f>#REF!</f>
        <v>#REF!</v>
      </c>
      <c r="AQ49" s="1698"/>
      <c r="AR49" s="1699" t="e">
        <f>#REF!</f>
        <v>#REF!</v>
      </c>
      <c r="AS49" s="1794">
        <f t="shared" si="38"/>
        <v>71180</v>
      </c>
      <c r="AT49" s="1795" t="e">
        <f t="shared" si="22"/>
        <v>#REF!</v>
      </c>
      <c r="AU49" s="1796" t="e">
        <f t="shared" si="23"/>
        <v>#REF!</v>
      </c>
      <c r="AV49" s="1833" t="e">
        <f t="shared" si="51"/>
        <v>#REF!</v>
      </c>
      <c r="AW49" s="1794">
        <f>1928820+R49+AA49+AJ49+AS49</f>
        <v>2000000</v>
      </c>
      <c r="AX49" s="1819" t="e">
        <f t="shared" si="53"/>
        <v>#REF!</v>
      </c>
      <c r="AY49" s="1819" t="e">
        <f t="shared" si="52"/>
        <v>#REF!</v>
      </c>
      <c r="AZ49" s="416">
        <f>AW51-E51</f>
        <v>0</v>
      </c>
    </row>
    <row r="50" spans="1:71" s="1618" customFormat="1" ht="33.75" customHeight="1" x14ac:dyDescent="0.3">
      <c r="A50" s="1654"/>
      <c r="B50" s="1681"/>
      <c r="C50" s="3342" t="s">
        <v>641</v>
      </c>
      <c r="D50" s="3343"/>
      <c r="E50" s="1862">
        <f>4000000-200000</f>
        <v>3800000</v>
      </c>
      <c r="F50" s="1846">
        <f>SUM(F51:F53)</f>
        <v>1983200</v>
      </c>
      <c r="G50" s="1886">
        <f>SUM(G51:G53)</f>
        <v>1641612</v>
      </c>
      <c r="H50" s="1708">
        <f>SUM(H51:H53)</f>
        <v>341588</v>
      </c>
      <c r="I50" s="1696">
        <v>750200</v>
      </c>
      <c r="J50" s="1708"/>
      <c r="K50" s="1708"/>
      <c r="L50" s="1815">
        <f>SUM(L51:L53)</f>
        <v>0</v>
      </c>
      <c r="M50" s="1816" t="e">
        <f t="shared" ref="M50:AU50" si="54">SUM(M51:M53)</f>
        <v>#REF!</v>
      </c>
      <c r="N50" s="1815">
        <f t="shared" si="54"/>
        <v>54000</v>
      </c>
      <c r="O50" s="1816" t="e">
        <f t="shared" si="54"/>
        <v>#REF!</v>
      </c>
      <c r="P50" s="1815">
        <f t="shared" si="54"/>
        <v>254410</v>
      </c>
      <c r="Q50" s="1816" t="e">
        <f t="shared" si="54"/>
        <v>#REF!</v>
      </c>
      <c r="R50" s="1725">
        <f t="shared" si="54"/>
        <v>308410</v>
      </c>
      <c r="S50" s="1729" t="e">
        <f t="shared" si="54"/>
        <v>#REF!</v>
      </c>
      <c r="T50" s="1696" t="e">
        <f t="shared" si="54"/>
        <v>#REF!</v>
      </c>
      <c r="U50" s="1815">
        <f t="shared" si="54"/>
        <v>0</v>
      </c>
      <c r="V50" s="1816">
        <f t="shared" si="54"/>
        <v>0</v>
      </c>
      <c r="W50" s="1815">
        <f t="shared" si="54"/>
        <v>54000</v>
      </c>
      <c r="X50" s="1816">
        <f t="shared" si="54"/>
        <v>124470.2</v>
      </c>
      <c r="Y50" s="1815">
        <f t="shared" si="54"/>
        <v>0</v>
      </c>
      <c r="Z50" s="1816">
        <f t="shared" si="54"/>
        <v>60950</v>
      </c>
      <c r="AA50" s="1725">
        <f t="shared" si="54"/>
        <v>54000</v>
      </c>
      <c r="AB50" s="1729">
        <f t="shared" si="54"/>
        <v>185420.2</v>
      </c>
      <c r="AC50" s="1696">
        <f t="shared" si="54"/>
        <v>-131420.20000000001</v>
      </c>
      <c r="AD50" s="1815">
        <f t="shared" si="54"/>
        <v>0</v>
      </c>
      <c r="AE50" s="1816">
        <f t="shared" si="54"/>
        <v>0</v>
      </c>
      <c r="AF50" s="1815">
        <f t="shared" si="54"/>
        <v>55712</v>
      </c>
      <c r="AG50" s="1816">
        <f t="shared" si="54"/>
        <v>0</v>
      </c>
      <c r="AH50" s="1815">
        <f t="shared" si="54"/>
        <v>0</v>
      </c>
      <c r="AI50" s="1816">
        <f t="shared" si="54"/>
        <v>0</v>
      </c>
      <c r="AJ50" s="1725">
        <f t="shared" si="54"/>
        <v>55712</v>
      </c>
      <c r="AK50" s="1729">
        <f t="shared" si="54"/>
        <v>0</v>
      </c>
      <c r="AL50" s="1696">
        <f t="shared" si="54"/>
        <v>55712</v>
      </c>
      <c r="AM50" s="1815">
        <f t="shared" si="54"/>
        <v>0</v>
      </c>
      <c r="AN50" s="1816">
        <f t="shared" si="54"/>
        <v>0</v>
      </c>
      <c r="AO50" s="1815">
        <f t="shared" si="54"/>
        <v>54000</v>
      </c>
      <c r="AP50" s="1816">
        <f t="shared" si="54"/>
        <v>0</v>
      </c>
      <c r="AQ50" s="1815">
        <f t="shared" si="54"/>
        <v>0</v>
      </c>
      <c r="AR50" s="1816">
        <f t="shared" si="54"/>
        <v>27960.5</v>
      </c>
      <c r="AS50" s="1725">
        <f t="shared" si="54"/>
        <v>54000</v>
      </c>
      <c r="AT50" s="1729">
        <f t="shared" si="54"/>
        <v>27960.5</v>
      </c>
      <c r="AU50" s="1696">
        <f t="shared" si="54"/>
        <v>26039.5</v>
      </c>
      <c r="AV50" s="1829" t="e">
        <f t="shared" si="51"/>
        <v>#REF!</v>
      </c>
      <c r="AW50" s="1725">
        <f>2286730+299388+741760+R50+AA50+AJ50+AS50</f>
        <v>3800000</v>
      </c>
      <c r="AX50" s="1709" t="e">
        <f t="shared" si="53"/>
        <v>#REF!</v>
      </c>
      <c r="AY50" s="1709" t="e">
        <f t="shared" si="52"/>
        <v>#REF!</v>
      </c>
      <c r="AZ50" s="1774"/>
      <c r="BA50" s="385"/>
      <c r="BB50" s="385"/>
      <c r="BC50" s="385"/>
      <c r="BD50" s="385"/>
      <c r="BE50" s="385"/>
      <c r="BF50" s="1817"/>
      <c r="BG50" s="1817"/>
      <c r="BH50" s="1817"/>
      <c r="BI50" s="1817"/>
      <c r="BJ50" s="1817"/>
      <c r="BK50" s="1817"/>
      <c r="BL50" s="1817"/>
      <c r="BM50" s="1817"/>
      <c r="BN50" s="1817"/>
      <c r="BO50" s="1817"/>
      <c r="BP50" s="1817"/>
      <c r="BQ50" s="1817"/>
      <c r="BR50" s="1817"/>
      <c r="BS50" s="1817"/>
    </row>
    <row r="51" spans="1:71" ht="20.25" customHeight="1" x14ac:dyDescent="0.3">
      <c r="A51" s="1652"/>
      <c r="B51" s="1683"/>
      <c r="C51" s="1684"/>
      <c r="D51" s="1820" t="s">
        <v>643</v>
      </c>
      <c r="E51" s="1864">
        <f>E50-E52-E53</f>
        <v>2758852</v>
      </c>
      <c r="F51" s="1848">
        <f>1337170-100000</f>
        <v>1237170</v>
      </c>
      <c r="G51" s="1882">
        <v>895582</v>
      </c>
      <c r="H51" s="1870">
        <f>F51-G51</f>
        <v>341588</v>
      </c>
      <c r="I51" s="1796"/>
      <c r="J51" s="1870"/>
      <c r="K51" s="1870"/>
      <c r="L51" s="1698"/>
      <c r="M51" s="1699">
        <f>'[17]16.โครงการ รายเดือน'!$CH$20</f>
        <v>0</v>
      </c>
      <c r="N51" s="1698">
        <v>54000</v>
      </c>
      <c r="O51" s="1699">
        <f>'[17]16.โครงการ รายเดือน'!$CI$20</f>
        <v>5720</v>
      </c>
      <c r="P51" s="1698">
        <f>'[19]ยุทธฯ จัดทำสารสนเทศฯ'!$F$38</f>
        <v>254410</v>
      </c>
      <c r="Q51" s="1699">
        <f>'[17]16.โครงการ รายเดือน'!$CJ$20</f>
        <v>46190</v>
      </c>
      <c r="R51" s="1794">
        <f t="shared" si="46"/>
        <v>308410</v>
      </c>
      <c r="S51" s="1795">
        <f t="shared" si="10"/>
        <v>51910</v>
      </c>
      <c r="T51" s="1796">
        <f t="shared" si="11"/>
        <v>256500</v>
      </c>
      <c r="U51" s="1698"/>
      <c r="V51" s="1699">
        <f>'[17]16.โครงการ รายเดือน'!$CK$20</f>
        <v>0</v>
      </c>
      <c r="W51" s="1698">
        <f>'[19]ยุทธฯ จัดทำสารสนเทศฯ'!$H$46</f>
        <v>54000</v>
      </c>
      <c r="X51" s="1699">
        <f>'[17]สรุป สพก.รายเดือน'!$R$8</f>
        <v>124470.2</v>
      </c>
      <c r="Y51" s="1698"/>
      <c r="Z51" s="1699">
        <f>'[17]สรุป สพก.รายเดือน'!$R$9</f>
        <v>60950</v>
      </c>
      <c r="AA51" s="1794">
        <f t="shared" si="12"/>
        <v>54000</v>
      </c>
      <c r="AB51" s="1795">
        <f t="shared" si="6"/>
        <v>185420.2</v>
      </c>
      <c r="AC51" s="1796">
        <f t="shared" si="7"/>
        <v>-131420.20000000001</v>
      </c>
      <c r="AD51" s="1698"/>
      <c r="AE51" s="1699">
        <f>'[17]16.โครงการ รายเดือน'!$CN$20</f>
        <v>0</v>
      </c>
      <c r="AF51" s="1698">
        <v>55712</v>
      </c>
      <c r="AG51" s="1699"/>
      <c r="AH51" s="1698"/>
      <c r="AI51" s="1699">
        <f>'[17]16.โครงการ รายเดือน'!$CP$20</f>
        <v>0</v>
      </c>
      <c r="AJ51" s="1794">
        <f t="shared" si="37"/>
        <v>55712</v>
      </c>
      <c r="AK51" s="1795">
        <f t="shared" si="20"/>
        <v>0</v>
      </c>
      <c r="AL51" s="1796">
        <f t="shared" si="21"/>
        <v>55712</v>
      </c>
      <c r="AM51" s="1698"/>
      <c r="AN51" s="1699">
        <f>'[17]16.โครงการ รายเดือน'!$CQ$20</f>
        <v>0</v>
      </c>
      <c r="AO51" s="1698">
        <v>54000</v>
      </c>
      <c r="AP51" s="1699">
        <f>'[17]16.โครงการ รายเดือน'!$CR$20</f>
        <v>0</v>
      </c>
      <c r="AQ51" s="1698"/>
      <c r="AR51" s="1699">
        <f>'[17]16.โครงการ รายเดือน'!$CS$20</f>
        <v>27960.5</v>
      </c>
      <c r="AS51" s="1794">
        <f t="shared" si="38"/>
        <v>54000</v>
      </c>
      <c r="AT51" s="1795">
        <f t="shared" si="22"/>
        <v>27960.5</v>
      </c>
      <c r="AU51" s="1796">
        <f t="shared" si="23"/>
        <v>26039.5</v>
      </c>
      <c r="AV51" s="1833">
        <f t="shared" si="51"/>
        <v>104257.79999999999</v>
      </c>
      <c r="AW51" s="1794">
        <f>2286730+R51+AA51+AJ51+AS51</f>
        <v>2758852</v>
      </c>
      <c r="AX51" s="1819">
        <f t="shared" si="53"/>
        <v>1160872.7</v>
      </c>
      <c r="AY51" s="1819">
        <f t="shared" si="52"/>
        <v>1597979.3</v>
      </c>
      <c r="AZ51" s="1731" t="s">
        <v>670</v>
      </c>
      <c r="BA51" s="1732"/>
      <c r="BB51" s="1732"/>
      <c r="BC51" s="1732"/>
      <c r="BD51" s="1732"/>
      <c r="BE51" s="1732"/>
      <c r="BF51" s="1733"/>
      <c r="BG51" s="1733"/>
      <c r="BH51" s="1733"/>
      <c r="BI51" s="1733"/>
      <c r="BJ51" s="1733"/>
    </row>
    <row r="52" spans="1:71" ht="20.25" customHeight="1" x14ac:dyDescent="0.3">
      <c r="A52" s="1652"/>
      <c r="B52" s="1683"/>
      <c r="C52" s="1684"/>
      <c r="D52" s="1818" t="s">
        <v>635</v>
      </c>
      <c r="E52" s="1864">
        <v>299388</v>
      </c>
      <c r="F52" s="1848">
        <v>90768</v>
      </c>
      <c r="G52" s="1882">
        <v>90768</v>
      </c>
      <c r="H52" s="1870">
        <f>F52-G52</f>
        <v>0</v>
      </c>
      <c r="I52" s="1796"/>
      <c r="J52" s="1870"/>
      <c r="K52" s="1870"/>
      <c r="L52" s="1698">
        <v>0</v>
      </c>
      <c r="M52" s="1699" t="e">
        <f>#REF!</f>
        <v>#REF!</v>
      </c>
      <c r="N52" s="1698">
        <v>0</v>
      </c>
      <c r="O52" s="1699" t="e">
        <f>#REF!</f>
        <v>#REF!</v>
      </c>
      <c r="P52" s="1698">
        <v>0</v>
      </c>
      <c r="Q52" s="1699" t="e">
        <f>#REF!</f>
        <v>#REF!</v>
      </c>
      <c r="R52" s="1794">
        <f t="shared" si="46"/>
        <v>0</v>
      </c>
      <c r="S52" s="1795" t="e">
        <f t="shared" si="10"/>
        <v>#REF!</v>
      </c>
      <c r="T52" s="1796" t="e">
        <f t="shared" si="11"/>
        <v>#REF!</v>
      </c>
      <c r="U52" s="1698">
        <v>0</v>
      </c>
      <c r="V52" s="1699"/>
      <c r="W52" s="1698">
        <v>0</v>
      </c>
      <c r="X52" s="1699"/>
      <c r="Y52" s="1698">
        <v>0</v>
      </c>
      <c r="Z52" s="1699"/>
      <c r="AA52" s="1794">
        <f t="shared" si="12"/>
        <v>0</v>
      </c>
      <c r="AB52" s="1795">
        <f t="shared" si="6"/>
        <v>0</v>
      </c>
      <c r="AC52" s="1796">
        <f t="shared" si="7"/>
        <v>0</v>
      </c>
      <c r="AD52" s="1698">
        <v>0</v>
      </c>
      <c r="AE52" s="1699"/>
      <c r="AF52" s="1698">
        <v>0</v>
      </c>
      <c r="AG52" s="1699"/>
      <c r="AH52" s="1698">
        <v>0</v>
      </c>
      <c r="AI52" s="1699"/>
      <c r="AJ52" s="1794">
        <f t="shared" si="37"/>
        <v>0</v>
      </c>
      <c r="AK52" s="1795">
        <f t="shared" si="20"/>
        <v>0</v>
      </c>
      <c r="AL52" s="1796">
        <f t="shared" si="21"/>
        <v>0</v>
      </c>
      <c r="AM52" s="1698">
        <v>0</v>
      </c>
      <c r="AN52" s="1699"/>
      <c r="AO52" s="1698">
        <v>0</v>
      </c>
      <c r="AP52" s="1699"/>
      <c r="AQ52" s="1698">
        <v>0</v>
      </c>
      <c r="AR52" s="1699"/>
      <c r="AS52" s="1794">
        <f t="shared" si="38"/>
        <v>0</v>
      </c>
      <c r="AT52" s="1795">
        <f t="shared" si="22"/>
        <v>0</v>
      </c>
      <c r="AU52" s="1796">
        <f t="shared" si="23"/>
        <v>0</v>
      </c>
      <c r="AV52" s="1833" t="e">
        <f t="shared" si="51"/>
        <v>#REF!</v>
      </c>
      <c r="AW52" s="1794">
        <f>E52+R52+AA52+AJ52+AS52</f>
        <v>299388</v>
      </c>
      <c r="AX52" s="1819" t="e">
        <f t="shared" si="53"/>
        <v>#REF!</v>
      </c>
      <c r="AY52" s="1819" t="e">
        <f t="shared" si="52"/>
        <v>#REF!</v>
      </c>
    </row>
    <row r="53" spans="1:71" ht="20.25" customHeight="1" x14ac:dyDescent="0.3">
      <c r="A53" s="1652"/>
      <c r="B53" s="1683"/>
      <c r="C53" s="1684"/>
      <c r="D53" s="1818" t="s">
        <v>1</v>
      </c>
      <c r="E53" s="1864">
        <f>741760</f>
        <v>741760</v>
      </c>
      <c r="F53" s="1848">
        <v>655262</v>
      </c>
      <c r="G53" s="1882">
        <v>655262</v>
      </c>
      <c r="H53" s="1870">
        <f>F53-G53</f>
        <v>0</v>
      </c>
      <c r="I53" s="1796"/>
      <c r="J53" s="1870"/>
      <c r="K53" s="1870"/>
      <c r="L53" s="1698"/>
      <c r="M53" s="1699"/>
      <c r="N53" s="1698"/>
      <c r="O53" s="1699"/>
      <c r="P53" s="1698"/>
      <c r="Q53" s="1699"/>
      <c r="R53" s="1794">
        <f t="shared" si="46"/>
        <v>0</v>
      </c>
      <c r="S53" s="1795">
        <f t="shared" si="10"/>
        <v>0</v>
      </c>
      <c r="T53" s="1796">
        <f t="shared" si="11"/>
        <v>0</v>
      </c>
      <c r="U53" s="1698"/>
      <c r="V53" s="1699"/>
      <c r="W53" s="1698"/>
      <c r="X53" s="1699"/>
      <c r="Y53" s="1698"/>
      <c r="Z53" s="1699"/>
      <c r="AA53" s="1794">
        <f t="shared" si="12"/>
        <v>0</v>
      </c>
      <c r="AB53" s="1795">
        <f t="shared" si="6"/>
        <v>0</v>
      </c>
      <c r="AC53" s="1796">
        <f t="shared" si="7"/>
        <v>0</v>
      </c>
      <c r="AD53" s="1698"/>
      <c r="AE53" s="1699"/>
      <c r="AF53" s="1698"/>
      <c r="AG53" s="1699"/>
      <c r="AH53" s="1698"/>
      <c r="AI53" s="1699"/>
      <c r="AJ53" s="1794">
        <f t="shared" si="37"/>
        <v>0</v>
      </c>
      <c r="AK53" s="1795">
        <f t="shared" si="20"/>
        <v>0</v>
      </c>
      <c r="AL53" s="1796">
        <f t="shared" si="21"/>
        <v>0</v>
      </c>
      <c r="AM53" s="1698"/>
      <c r="AN53" s="1699"/>
      <c r="AO53" s="1698"/>
      <c r="AP53" s="1699"/>
      <c r="AQ53" s="1698"/>
      <c r="AR53" s="1699"/>
      <c r="AS53" s="1794">
        <f t="shared" si="38"/>
        <v>0</v>
      </c>
      <c r="AT53" s="1795">
        <f t="shared" si="22"/>
        <v>0</v>
      </c>
      <c r="AU53" s="1796">
        <f t="shared" si="23"/>
        <v>0</v>
      </c>
      <c r="AV53" s="1833">
        <f t="shared" si="51"/>
        <v>0</v>
      </c>
      <c r="AW53" s="1794">
        <f>E53+R53+AA53+AJ53+AS53</f>
        <v>741760</v>
      </c>
      <c r="AX53" s="1819">
        <f t="shared" si="53"/>
        <v>655262</v>
      </c>
      <c r="AY53" s="1819">
        <f t="shared" si="52"/>
        <v>86498</v>
      </c>
    </row>
    <row r="54" spans="1:71" ht="33.75" customHeight="1" x14ac:dyDescent="0.3">
      <c r="A54" s="1652"/>
      <c r="B54" s="1683"/>
      <c r="C54" s="3342" t="s">
        <v>665</v>
      </c>
      <c r="D54" s="3343"/>
      <c r="E54" s="1862">
        <v>5067400</v>
      </c>
      <c r="F54" s="1846">
        <v>2533700</v>
      </c>
      <c r="G54" s="1886">
        <v>2116800</v>
      </c>
      <c r="H54" s="1870">
        <f>F54-G54</f>
        <v>416900</v>
      </c>
      <c r="I54" s="1696">
        <v>1266900</v>
      </c>
      <c r="J54" s="1870"/>
      <c r="K54" s="1870"/>
      <c r="L54" s="1698"/>
      <c r="M54" s="1699">
        <f>'[18]16.โครงการ รายเดือน'!$BT$20</f>
        <v>0</v>
      </c>
      <c r="N54" s="1698"/>
      <c r="O54" s="1699">
        <f>'[18]16.โครงการ รายเดือน'!$BU$20</f>
        <v>0</v>
      </c>
      <c r="P54" s="1698"/>
      <c r="Q54" s="1699">
        <f>'[18]16.โครงการ รายเดือน'!$BV$20</f>
        <v>0</v>
      </c>
      <c r="R54" s="1725">
        <f t="shared" si="46"/>
        <v>0</v>
      </c>
      <c r="S54" s="1729">
        <f t="shared" si="10"/>
        <v>0</v>
      </c>
      <c r="T54" s="1696">
        <f t="shared" si="11"/>
        <v>0</v>
      </c>
      <c r="U54" s="1698"/>
      <c r="V54" s="1699">
        <f>'[18]16.โครงการ รายเดือน'!$BW$20</f>
        <v>0</v>
      </c>
      <c r="W54" s="1698"/>
      <c r="X54" s="1699">
        <f>'[18]16.โครงการ รายเดือน'!$BX$20</f>
        <v>0</v>
      </c>
      <c r="Y54" s="1698"/>
      <c r="Z54" s="1699">
        <f>'[18]16.โครงการ รายเดือน'!$BY$20</f>
        <v>0</v>
      </c>
      <c r="AA54" s="1725">
        <f t="shared" si="12"/>
        <v>0</v>
      </c>
      <c r="AB54" s="1729">
        <f t="shared" si="6"/>
        <v>0</v>
      </c>
      <c r="AC54" s="1696">
        <f t="shared" si="7"/>
        <v>0</v>
      </c>
      <c r="AD54" s="1698"/>
      <c r="AE54" s="1699">
        <f>'[18]16.โครงการ รายเดือน'!$BZ$20</f>
        <v>0</v>
      </c>
      <c r="AF54" s="1698"/>
      <c r="AG54" s="1699">
        <f>'[18]16.โครงการ รายเดือน'!$CA$20</f>
        <v>0</v>
      </c>
      <c r="AH54" s="1698"/>
      <c r="AI54" s="1699">
        <f>'[18]16.โครงการ รายเดือน'!$CB$20</f>
        <v>0</v>
      </c>
      <c r="AJ54" s="1725">
        <f t="shared" si="37"/>
        <v>0</v>
      </c>
      <c r="AK54" s="1729">
        <f t="shared" si="20"/>
        <v>0</v>
      </c>
      <c r="AL54" s="1696">
        <f t="shared" si="21"/>
        <v>0</v>
      </c>
      <c r="AM54" s="1698"/>
      <c r="AN54" s="1699">
        <f>'[18]16.โครงการ รายเดือน'!$CC$20</f>
        <v>0</v>
      </c>
      <c r="AO54" s="1698"/>
      <c r="AP54" s="1699">
        <f>'[18]16.โครงการ รายเดือน'!$CD$20</f>
        <v>0</v>
      </c>
      <c r="AQ54" s="1698"/>
      <c r="AR54" s="1699">
        <f>'[18]16.โครงการ รายเดือน'!$CE$20</f>
        <v>0</v>
      </c>
      <c r="AS54" s="1725">
        <f t="shared" si="38"/>
        <v>0</v>
      </c>
      <c r="AT54" s="1729">
        <f t="shared" si="22"/>
        <v>0</v>
      </c>
      <c r="AU54" s="1696">
        <f t="shared" si="23"/>
        <v>0</v>
      </c>
      <c r="AV54" s="1829">
        <f t="shared" si="51"/>
        <v>416900</v>
      </c>
      <c r="AW54" s="1725">
        <f>E54+R54+AA54+AJ54+AS54</f>
        <v>5067400</v>
      </c>
      <c r="AX54" s="1709">
        <f t="shared" si="53"/>
        <v>2116800</v>
      </c>
      <c r="AY54" s="1709">
        <f>AW54-AX54</f>
        <v>2950600</v>
      </c>
    </row>
    <row r="55" spans="1:71" s="1618" customFormat="1" ht="31.5" customHeight="1" x14ac:dyDescent="0.3">
      <c r="A55" s="1654"/>
      <c r="B55" s="1681"/>
      <c r="C55" s="3342" t="s">
        <v>637</v>
      </c>
      <c r="D55" s="3343"/>
      <c r="E55" s="1862">
        <v>4000000</v>
      </c>
      <c r="F55" s="1846">
        <f>SUM(F56:F57)</f>
        <v>1063200</v>
      </c>
      <c r="G55" s="1886">
        <f>SUM(G56:G57)</f>
        <v>1043558</v>
      </c>
      <c r="H55" s="1708">
        <f>SUM(H56:H57)</f>
        <v>19642</v>
      </c>
      <c r="I55" s="1696">
        <v>1878900</v>
      </c>
      <c r="J55" s="1708"/>
      <c r="K55" s="1708"/>
      <c r="L55" s="1815">
        <f>SUM(L56:L57)</f>
        <v>5000</v>
      </c>
      <c r="M55" s="1816">
        <f t="shared" ref="M55:AU55" si="55">SUM(M56:M57)</f>
        <v>3353.38</v>
      </c>
      <c r="N55" s="1815">
        <f t="shared" si="55"/>
        <v>5000</v>
      </c>
      <c r="O55" s="1816">
        <f t="shared" si="55"/>
        <v>0</v>
      </c>
      <c r="P55" s="1815">
        <f t="shared" si="55"/>
        <v>25000</v>
      </c>
      <c r="Q55" s="1816">
        <f t="shared" si="55"/>
        <v>12060</v>
      </c>
      <c r="R55" s="1725">
        <f t="shared" si="55"/>
        <v>35000</v>
      </c>
      <c r="S55" s="1729">
        <f t="shared" si="55"/>
        <v>15413.380000000001</v>
      </c>
      <c r="T55" s="1696">
        <f t="shared" si="55"/>
        <v>19586.62</v>
      </c>
      <c r="U55" s="1815">
        <f t="shared" si="55"/>
        <v>25000</v>
      </c>
      <c r="V55" s="1816">
        <f t="shared" si="55"/>
        <v>0</v>
      </c>
      <c r="W55" s="1815">
        <f t="shared" si="55"/>
        <v>25000</v>
      </c>
      <c r="X55" s="1816">
        <f t="shared" si="55"/>
        <v>6440</v>
      </c>
      <c r="Y55" s="1815">
        <f t="shared" si="55"/>
        <v>5000</v>
      </c>
      <c r="Z55" s="1816">
        <f t="shared" si="55"/>
        <v>0</v>
      </c>
      <c r="AA55" s="1725">
        <f t="shared" si="55"/>
        <v>55000</v>
      </c>
      <c r="AB55" s="1729">
        <f t="shared" si="55"/>
        <v>6440</v>
      </c>
      <c r="AC55" s="1696">
        <f t="shared" si="55"/>
        <v>48560</v>
      </c>
      <c r="AD55" s="1815">
        <f t="shared" si="55"/>
        <v>150440</v>
      </c>
      <c r="AE55" s="1816">
        <f t="shared" si="55"/>
        <v>11600</v>
      </c>
      <c r="AF55" s="1815">
        <f t="shared" si="55"/>
        <v>20000</v>
      </c>
      <c r="AG55" s="1816">
        <f t="shared" si="55"/>
        <v>0</v>
      </c>
      <c r="AH55" s="1815">
        <f t="shared" si="55"/>
        <v>20000</v>
      </c>
      <c r="AI55" s="1816">
        <f t="shared" si="55"/>
        <v>0</v>
      </c>
      <c r="AJ55" s="1725">
        <f t="shared" si="55"/>
        <v>190440</v>
      </c>
      <c r="AK55" s="1729">
        <f t="shared" si="55"/>
        <v>11600</v>
      </c>
      <c r="AL55" s="1696">
        <f t="shared" si="55"/>
        <v>178840</v>
      </c>
      <c r="AM55" s="1815">
        <f t="shared" si="55"/>
        <v>20000</v>
      </c>
      <c r="AN55" s="1816">
        <f t="shared" si="55"/>
        <v>79750</v>
      </c>
      <c r="AO55" s="1815">
        <f t="shared" si="55"/>
        <v>20000</v>
      </c>
      <c r="AP55" s="1816">
        <f t="shared" si="55"/>
        <v>28069</v>
      </c>
      <c r="AQ55" s="1815">
        <f t="shared" si="55"/>
        <v>18648</v>
      </c>
      <c r="AR55" s="1816">
        <f t="shared" si="55"/>
        <v>28069</v>
      </c>
      <c r="AS55" s="1725">
        <f t="shared" si="55"/>
        <v>58648</v>
      </c>
      <c r="AT55" s="1729">
        <f t="shared" si="55"/>
        <v>135888</v>
      </c>
      <c r="AU55" s="1696">
        <f t="shared" si="55"/>
        <v>-77240</v>
      </c>
      <c r="AV55" s="1829">
        <f t="shared" si="51"/>
        <v>-2211.380000000001</v>
      </c>
      <c r="AW55" s="1725">
        <f>810687+2850225+R55+AA55+AJ55+AS55</f>
        <v>4000000</v>
      </c>
      <c r="AX55" s="1709">
        <f t="shared" si="53"/>
        <v>1212899.3799999999</v>
      </c>
      <c r="AY55" s="1709">
        <f>E55-AX55</f>
        <v>2787100.62</v>
      </c>
      <c r="AZ55" s="1774"/>
      <c r="BA55" s="385"/>
      <c r="BB55" s="385"/>
      <c r="BC55" s="385"/>
      <c r="BD55" s="385"/>
      <c r="BE55" s="385"/>
      <c r="BF55" s="1817"/>
      <c r="BG55" s="1817"/>
      <c r="BH55" s="1817"/>
      <c r="BI55" s="1817"/>
      <c r="BJ55" s="1817"/>
      <c r="BK55" s="1817"/>
      <c r="BL55" s="1817"/>
      <c r="BM55" s="1817"/>
      <c r="BN55" s="1817"/>
      <c r="BO55" s="1817"/>
      <c r="BP55" s="1817"/>
      <c r="BQ55" s="1817"/>
      <c r="BR55" s="1817"/>
      <c r="BS55" s="1817"/>
    </row>
    <row r="56" spans="1:71" ht="23.25" customHeight="1" x14ac:dyDescent="0.3">
      <c r="A56" s="1652"/>
      <c r="B56" s="1683"/>
      <c r="C56" s="1683"/>
      <c r="D56" s="1818" t="s">
        <v>3</v>
      </c>
      <c r="E56" s="1864">
        <v>1149775</v>
      </c>
      <c r="F56" s="1848">
        <f>19642+269467.5</f>
        <v>289109.5</v>
      </c>
      <c r="G56" s="1882">
        <v>269467.5</v>
      </c>
      <c r="H56" s="1870">
        <f>F56-G56</f>
        <v>19642</v>
      </c>
      <c r="I56" s="1796"/>
      <c r="J56" s="1870"/>
      <c r="K56" s="1870"/>
      <c r="L56" s="1698">
        <f>'[19]ยุทธฯ จัดทำสารสนเทศฯ'!$D$157</f>
        <v>5000</v>
      </c>
      <c r="M56" s="1699">
        <f>'[12]16.โครงการ รายเดือน'!$P$20</f>
        <v>3353.38</v>
      </c>
      <c r="N56" s="1698">
        <f>'[19]ยุทธฯ จัดทำสารสนเทศฯ'!$E$157</f>
        <v>5000</v>
      </c>
      <c r="O56" s="1699">
        <f>'[12]16.โครงการ รายเดือน'!$Q$20</f>
        <v>0</v>
      </c>
      <c r="P56" s="1698">
        <f>'[19]ยุทธฯ จัดทำสารสนเทศฯ'!$F$152+'[19]ยุทธฯ จัดทำสารสนเทศฯ'!$F$157</f>
        <v>25000</v>
      </c>
      <c r="Q56" s="1699">
        <f>'[12]16.โครงการ รายเดือน'!$R$20</f>
        <v>12060</v>
      </c>
      <c r="R56" s="1794">
        <f t="shared" si="46"/>
        <v>35000</v>
      </c>
      <c r="S56" s="1795">
        <f t="shared" si="10"/>
        <v>15413.380000000001</v>
      </c>
      <c r="T56" s="1796">
        <f t="shared" si="11"/>
        <v>19586.62</v>
      </c>
      <c r="U56" s="1698">
        <f>'[19]ยุทธฯ จัดทำสารสนเทศฯ'!$G$152+'[19]ยุทธฯ จัดทำสารสนเทศฯ'!$G$157</f>
        <v>25000</v>
      </c>
      <c r="V56" s="1699">
        <f>'[12]16.โครงการ รายเดือน'!$S$20</f>
        <v>0</v>
      </c>
      <c r="W56" s="1698">
        <f>'[19]ยุทธฯ จัดทำสารสนเทศฯ'!$H$152+'[19]ยุทธฯ จัดทำสารสนเทศฯ'!$H$157</f>
        <v>25000</v>
      </c>
      <c r="X56" s="1699">
        <f>'[12]16.โครงการ รายเดือน'!$T$20</f>
        <v>6440</v>
      </c>
      <c r="Y56" s="1698">
        <f>'[19]ยุทธฯ จัดทำสารสนเทศฯ'!$I$157</f>
        <v>5000</v>
      </c>
      <c r="Z56" s="1699">
        <f>'[12]16.โครงการ รายเดือน'!$U$20</f>
        <v>0</v>
      </c>
      <c r="AA56" s="1794">
        <f t="shared" si="12"/>
        <v>55000</v>
      </c>
      <c r="AB56" s="1795">
        <f t="shared" si="6"/>
        <v>6440</v>
      </c>
      <c r="AC56" s="1796">
        <f t="shared" si="7"/>
        <v>48560</v>
      </c>
      <c r="AD56" s="1698">
        <f>'[19]ยุทธฯ จัดทำสารสนเทศฯ'!$J$157+'[19]ยุทธฯ จัดทำสารสนเทศฯ'!$J$165</f>
        <v>150440</v>
      </c>
      <c r="AE56" s="1699">
        <f>'[12]16.โครงการ รายเดือน'!$V$20</f>
        <v>11600</v>
      </c>
      <c r="AF56" s="1698">
        <f>+'[19]ยุทธฯ จัดทำสารสนเทศฯ'!$L$157</f>
        <v>20000</v>
      </c>
      <c r="AG56" s="1699">
        <f>'[12]16.โครงการ รายเดือน'!$W$20</f>
        <v>0</v>
      </c>
      <c r="AH56" s="1698">
        <f>'[19]ยุทธฯ จัดทำสารสนเทศฯ'!$L$157</f>
        <v>20000</v>
      </c>
      <c r="AI56" s="1699">
        <f>'[12]16.โครงการ รายเดือน'!$X$20</f>
        <v>0</v>
      </c>
      <c r="AJ56" s="1794">
        <f t="shared" si="37"/>
        <v>190440</v>
      </c>
      <c r="AK56" s="1795">
        <f t="shared" si="20"/>
        <v>11600</v>
      </c>
      <c r="AL56" s="1796">
        <f t="shared" si="21"/>
        <v>178840</v>
      </c>
      <c r="AM56" s="1698">
        <f>'[19]ยุทธฯ จัดทำสารสนเทศฯ'!$M$157</f>
        <v>20000</v>
      </c>
      <c r="AN56" s="1699">
        <f>'[12]16.โครงการ รายเดือน'!$Y$20</f>
        <v>79750</v>
      </c>
      <c r="AO56" s="1698">
        <f>'[19]ยุทธฯ จัดทำสารสนเทศฯ'!$N$157</f>
        <v>20000</v>
      </c>
      <c r="AP56" s="1699">
        <f>'[12]16.โครงการ รายเดือน'!$Z$20</f>
        <v>28069</v>
      </c>
      <c r="AQ56" s="1698">
        <f>'[19]ยุทธฯ จัดทำสารสนเทศฯ'!$O$157</f>
        <v>18648</v>
      </c>
      <c r="AR56" s="1699">
        <f>'[12]16.โครงการ รายเดือน'!$Z$20</f>
        <v>28069</v>
      </c>
      <c r="AS56" s="1794">
        <f t="shared" si="38"/>
        <v>58648</v>
      </c>
      <c r="AT56" s="1795">
        <f t="shared" si="22"/>
        <v>135888</v>
      </c>
      <c r="AU56" s="1796">
        <f t="shared" si="23"/>
        <v>-77240</v>
      </c>
      <c r="AV56" s="1829">
        <f t="shared" si="51"/>
        <v>-2211.380000000001</v>
      </c>
      <c r="AW56" s="1794">
        <f>810687+R56+AA56+AJ56+AS56</f>
        <v>1149775</v>
      </c>
      <c r="AX56" s="1819">
        <f t="shared" si="53"/>
        <v>438808.88</v>
      </c>
      <c r="AY56" s="1819">
        <f>E56-AX56</f>
        <v>710966.12</v>
      </c>
    </row>
    <row r="57" spans="1:71" ht="23.25" customHeight="1" x14ac:dyDescent="0.3">
      <c r="A57" s="1652"/>
      <c r="B57" s="1683"/>
      <c r="C57" s="1683"/>
      <c r="D57" s="1818" t="s">
        <v>20</v>
      </c>
      <c r="E57" s="1864">
        <v>2850225</v>
      </c>
      <c r="F57" s="1848">
        <v>774090.5</v>
      </c>
      <c r="G57" s="1882">
        <v>774090.5</v>
      </c>
      <c r="H57" s="1870">
        <f>F57-G57</f>
        <v>0</v>
      </c>
      <c r="I57" s="1796"/>
      <c r="J57" s="1870"/>
      <c r="K57" s="1870"/>
      <c r="L57" s="1698">
        <v>0</v>
      </c>
      <c r="M57" s="1699">
        <f>'[16]16.โครงการ รายเดือน'!$P$20</f>
        <v>0</v>
      </c>
      <c r="N57" s="1698"/>
      <c r="O57" s="1699">
        <v>0</v>
      </c>
      <c r="P57" s="1698"/>
      <c r="Q57" s="1699">
        <f>'[16]16.โครงการ รายเดือน'!$R$20</f>
        <v>0</v>
      </c>
      <c r="R57" s="1794">
        <f t="shared" si="46"/>
        <v>0</v>
      </c>
      <c r="S57" s="1795">
        <f t="shared" si="10"/>
        <v>0</v>
      </c>
      <c r="T57" s="1796">
        <f t="shared" si="11"/>
        <v>0</v>
      </c>
      <c r="U57" s="1698"/>
      <c r="V57" s="1699">
        <f>'[16]16.โครงการ รายเดือน'!$S$20</f>
        <v>0</v>
      </c>
      <c r="W57" s="1698"/>
      <c r="X57" s="1699">
        <f>'[16]16.โครงการ รายเดือน'!$T$20</f>
        <v>0</v>
      </c>
      <c r="Y57" s="1698"/>
      <c r="Z57" s="1699">
        <f>'[16]16.โครงการ รายเดือน'!$U$20</f>
        <v>0</v>
      </c>
      <c r="AA57" s="1794">
        <f t="shared" si="12"/>
        <v>0</v>
      </c>
      <c r="AB57" s="1795">
        <f t="shared" si="6"/>
        <v>0</v>
      </c>
      <c r="AC57" s="1796">
        <f t="shared" si="7"/>
        <v>0</v>
      </c>
      <c r="AD57" s="1698"/>
      <c r="AE57" s="1699">
        <f>'[16]16.โครงการ รายเดือน'!$V$20</f>
        <v>0</v>
      </c>
      <c r="AF57" s="1698"/>
      <c r="AG57" s="1699">
        <f>'[16]16.โครงการ รายเดือน'!$W$20</f>
        <v>0</v>
      </c>
      <c r="AH57" s="1698"/>
      <c r="AI57" s="1699">
        <f>'[16]16.โครงการ รายเดือน'!$X$20</f>
        <v>0</v>
      </c>
      <c r="AJ57" s="1794">
        <f t="shared" si="37"/>
        <v>0</v>
      </c>
      <c r="AK57" s="1795">
        <f t="shared" si="20"/>
        <v>0</v>
      </c>
      <c r="AL57" s="1796">
        <f t="shared" si="21"/>
        <v>0</v>
      </c>
      <c r="AM57" s="1698"/>
      <c r="AN57" s="1699">
        <f>'[16]16.โครงการ รายเดือน'!$Y$20</f>
        <v>0</v>
      </c>
      <c r="AO57" s="1698"/>
      <c r="AP57" s="1699">
        <f>'[16]16.โครงการ รายเดือน'!$Z$20</f>
        <v>0</v>
      </c>
      <c r="AQ57" s="1698"/>
      <c r="AR57" s="1699">
        <f>'[16]16.โครงการ รายเดือน'!$AA$20</f>
        <v>0</v>
      </c>
      <c r="AS57" s="1794">
        <f t="shared" si="38"/>
        <v>0</v>
      </c>
      <c r="AT57" s="1795">
        <f t="shared" si="22"/>
        <v>0</v>
      </c>
      <c r="AU57" s="1796">
        <f t="shared" si="23"/>
        <v>0</v>
      </c>
      <c r="AV57" s="1829">
        <f t="shared" si="51"/>
        <v>0</v>
      </c>
      <c r="AW57" s="1794">
        <f>E57+R57+AA57+AJ57+AS57</f>
        <v>2850225</v>
      </c>
      <c r="AX57" s="1819">
        <f t="shared" si="53"/>
        <v>774090.5</v>
      </c>
      <c r="AY57" s="1819">
        <f>E57-AX57</f>
        <v>2076134.5</v>
      </c>
    </row>
    <row r="58" spans="1:71" ht="34.5" customHeight="1" x14ac:dyDescent="0.3">
      <c r="A58" s="1652"/>
      <c r="B58" s="3344" t="s">
        <v>668</v>
      </c>
      <c r="C58" s="3344"/>
      <c r="D58" s="3345"/>
      <c r="E58" s="1862">
        <f>E59+E60+E61</f>
        <v>10703000</v>
      </c>
      <c r="F58" s="1846">
        <f>SUM(F59:F61)</f>
        <v>5351500</v>
      </c>
      <c r="G58" s="1886">
        <f>SUM(G59:G61)</f>
        <v>1408800</v>
      </c>
      <c r="H58" s="1872">
        <f>SUM(H59:H61)</f>
        <v>3942700</v>
      </c>
      <c r="I58" s="1696">
        <f>SUM(I59:I61)</f>
        <v>1835800</v>
      </c>
      <c r="J58" s="1872"/>
      <c r="K58" s="1872"/>
      <c r="L58" s="1698">
        <f>SUM(L59:L61)</f>
        <v>0</v>
      </c>
      <c r="M58" s="1699">
        <f t="shared" ref="M58:AU58" si="56">SUM(M59:M61)</f>
        <v>0</v>
      </c>
      <c r="N58" s="1698">
        <f t="shared" si="56"/>
        <v>0</v>
      </c>
      <c r="O58" s="1699">
        <f t="shared" si="56"/>
        <v>0</v>
      </c>
      <c r="P58" s="1698">
        <f t="shared" si="56"/>
        <v>0</v>
      </c>
      <c r="Q58" s="1699">
        <f t="shared" si="56"/>
        <v>0</v>
      </c>
      <c r="R58" s="1725">
        <f t="shared" si="56"/>
        <v>0</v>
      </c>
      <c r="S58" s="1729">
        <f t="shared" si="56"/>
        <v>0</v>
      </c>
      <c r="T58" s="1696">
        <f t="shared" si="56"/>
        <v>0</v>
      </c>
      <c r="U58" s="1698">
        <f t="shared" si="56"/>
        <v>8550</v>
      </c>
      <c r="V58" s="1699">
        <f t="shared" si="56"/>
        <v>0</v>
      </c>
      <c r="W58" s="1698">
        <f t="shared" si="56"/>
        <v>0</v>
      </c>
      <c r="X58" s="1699">
        <f t="shared" si="56"/>
        <v>0</v>
      </c>
      <c r="Y58" s="1698">
        <f t="shared" si="56"/>
        <v>0</v>
      </c>
      <c r="Z58" s="1699">
        <f t="shared" si="56"/>
        <v>1575</v>
      </c>
      <c r="AA58" s="1725">
        <f t="shared" si="56"/>
        <v>8550</v>
      </c>
      <c r="AB58" s="1729">
        <f t="shared" si="56"/>
        <v>1575</v>
      </c>
      <c r="AC58" s="1696">
        <f t="shared" si="56"/>
        <v>6975</v>
      </c>
      <c r="AD58" s="1698">
        <f t="shared" si="56"/>
        <v>0</v>
      </c>
      <c r="AE58" s="1699">
        <f t="shared" si="56"/>
        <v>700</v>
      </c>
      <c r="AF58" s="1698">
        <f t="shared" si="56"/>
        <v>0</v>
      </c>
      <c r="AG58" s="1699">
        <f t="shared" si="56"/>
        <v>0</v>
      </c>
      <c r="AH58" s="1698">
        <f t="shared" si="56"/>
        <v>0</v>
      </c>
      <c r="AI58" s="1699">
        <f t="shared" si="56"/>
        <v>433874.3</v>
      </c>
      <c r="AJ58" s="1725">
        <f t="shared" si="56"/>
        <v>0</v>
      </c>
      <c r="AK58" s="1729">
        <f t="shared" si="56"/>
        <v>434574.3</v>
      </c>
      <c r="AL58" s="1696">
        <f t="shared" si="56"/>
        <v>-434574.3</v>
      </c>
      <c r="AM58" s="1698">
        <f t="shared" si="56"/>
        <v>0</v>
      </c>
      <c r="AN58" s="1699">
        <f t="shared" si="56"/>
        <v>36594</v>
      </c>
      <c r="AO58" s="1698">
        <f t="shared" si="56"/>
        <v>0</v>
      </c>
      <c r="AP58" s="1699">
        <f t="shared" si="56"/>
        <v>14380</v>
      </c>
      <c r="AQ58" s="1698">
        <f t="shared" si="56"/>
        <v>0</v>
      </c>
      <c r="AR58" s="1699">
        <f t="shared" si="56"/>
        <v>132490</v>
      </c>
      <c r="AS58" s="1725">
        <f t="shared" si="56"/>
        <v>0</v>
      </c>
      <c r="AT58" s="1729">
        <f t="shared" si="56"/>
        <v>183464</v>
      </c>
      <c r="AU58" s="1696">
        <f t="shared" si="56"/>
        <v>-183464</v>
      </c>
      <c r="AV58" s="1829">
        <f t="shared" si="51"/>
        <v>3941125</v>
      </c>
      <c r="AW58" s="1725">
        <f>1491450+7703000+1500000+R58+AA58+AJ58+AS58</f>
        <v>10703000</v>
      </c>
      <c r="AX58" s="1709">
        <f t="shared" si="53"/>
        <v>2028413.3</v>
      </c>
      <c r="AY58" s="1709">
        <f>E56+E58-AX58</f>
        <v>9824361.6999999993</v>
      </c>
    </row>
    <row r="59" spans="1:71" ht="24" customHeight="1" x14ac:dyDescent="0.3">
      <c r="A59" s="1652"/>
      <c r="B59" s="1683"/>
      <c r="C59" s="3340" t="s">
        <v>638</v>
      </c>
      <c r="D59" s="3341"/>
      <c r="E59" s="1863">
        <v>1500000</v>
      </c>
      <c r="F59" s="1847">
        <v>750000</v>
      </c>
      <c r="G59" s="1882">
        <v>750000</v>
      </c>
      <c r="H59" s="1870">
        <f>F59-G59</f>
        <v>0</v>
      </c>
      <c r="I59" s="1796">
        <v>375000</v>
      </c>
      <c r="J59" s="1870"/>
      <c r="K59" s="1870"/>
      <c r="L59" s="1698"/>
      <c r="M59" s="1699">
        <f>'[18]16.โครงการ รายเดือน'!$BF$20</f>
        <v>0</v>
      </c>
      <c r="N59" s="1698"/>
      <c r="O59" s="1699">
        <f>'[18]16.โครงการ รายเดือน'!$BG$20</f>
        <v>0</v>
      </c>
      <c r="P59" s="1698"/>
      <c r="Q59" s="1699"/>
      <c r="R59" s="1794">
        <f t="shared" si="46"/>
        <v>0</v>
      </c>
      <c r="S59" s="1795">
        <f t="shared" si="10"/>
        <v>0</v>
      </c>
      <c r="T59" s="1796">
        <f t="shared" si="11"/>
        <v>0</v>
      </c>
      <c r="U59" s="1698"/>
      <c r="V59" s="1699"/>
      <c r="W59" s="1698"/>
      <c r="X59" s="1699">
        <f>'[18]16.โครงการ รายเดือน'!$BJ$20</f>
        <v>0</v>
      </c>
      <c r="Y59" s="1698"/>
      <c r="Z59" s="1699">
        <f>'[18]16.โครงการ รายเดือน'!$BK$20</f>
        <v>0</v>
      </c>
      <c r="AA59" s="1794">
        <f t="shared" si="12"/>
        <v>0</v>
      </c>
      <c r="AB59" s="1795">
        <f t="shared" si="6"/>
        <v>0</v>
      </c>
      <c r="AC59" s="1796">
        <f t="shared" si="7"/>
        <v>0</v>
      </c>
      <c r="AD59" s="1698"/>
      <c r="AE59" s="1699">
        <f>'[18]16.โครงการ รายเดือน'!$BL$20</f>
        <v>0</v>
      </c>
      <c r="AF59" s="1698"/>
      <c r="AG59" s="1699">
        <f>'[18]16.โครงการ รายเดือน'!$BM$20</f>
        <v>0</v>
      </c>
      <c r="AH59" s="1698"/>
      <c r="AI59" s="1699">
        <f>'[18]16.โครงการ รายเดือน'!$BN$20</f>
        <v>0</v>
      </c>
      <c r="AJ59" s="1794">
        <f t="shared" si="37"/>
        <v>0</v>
      </c>
      <c r="AK59" s="1795">
        <f t="shared" si="20"/>
        <v>0</v>
      </c>
      <c r="AL59" s="1796">
        <f t="shared" si="21"/>
        <v>0</v>
      </c>
      <c r="AM59" s="1698"/>
      <c r="AN59" s="1699">
        <f>'[18]16.โครงการ รายเดือน'!$BO$20</f>
        <v>0</v>
      </c>
      <c r="AO59" s="1698"/>
      <c r="AP59" s="1699">
        <f>'[18]16.โครงการ รายเดือน'!$BP$20</f>
        <v>0</v>
      </c>
      <c r="AQ59" s="1698"/>
      <c r="AR59" s="1699">
        <f>'[18]16.โครงการ รายเดือน'!$BQ$20</f>
        <v>0</v>
      </c>
      <c r="AS59" s="1794">
        <f t="shared" si="38"/>
        <v>0</v>
      </c>
      <c r="AT59" s="1795">
        <f t="shared" si="22"/>
        <v>0</v>
      </c>
      <c r="AU59" s="1796">
        <f t="shared" si="23"/>
        <v>0</v>
      </c>
      <c r="AV59" s="1829">
        <f t="shared" si="51"/>
        <v>0</v>
      </c>
      <c r="AW59" s="1794">
        <f>E59+R59+AA59+AJ59+AS59</f>
        <v>1500000</v>
      </c>
      <c r="AX59" s="1819">
        <f t="shared" si="53"/>
        <v>750000</v>
      </c>
      <c r="AY59" s="1819">
        <f>AW59-AX59</f>
        <v>750000</v>
      </c>
    </row>
    <row r="60" spans="1:71" ht="36" customHeight="1" x14ac:dyDescent="0.3">
      <c r="A60" s="1652"/>
      <c r="B60" s="1683"/>
      <c r="C60" s="3340" t="s">
        <v>639</v>
      </c>
      <c r="D60" s="3341"/>
      <c r="E60" s="1863">
        <v>7703000</v>
      </c>
      <c r="F60" s="1847">
        <v>3941500</v>
      </c>
      <c r="G60" s="1882">
        <v>0</v>
      </c>
      <c r="H60" s="1870">
        <f>F60-G60</f>
        <v>3941500</v>
      </c>
      <c r="I60" s="1796">
        <v>1460800</v>
      </c>
      <c r="J60" s="1870"/>
      <c r="K60" s="1870"/>
      <c r="L60" s="1698"/>
      <c r="M60" s="1699">
        <f>'[18]16.โครงการ รายเดือน'!$CV$20</f>
        <v>0</v>
      </c>
      <c r="N60" s="1698"/>
      <c r="O60" s="1699">
        <f>'[18]16.โครงการ รายเดือน'!$CW$20</f>
        <v>0</v>
      </c>
      <c r="P60" s="1698"/>
      <c r="Q60" s="1699">
        <f>'[18]16.โครงการ รายเดือน'!$BH$20</f>
        <v>0</v>
      </c>
      <c r="R60" s="1794">
        <f t="shared" si="46"/>
        <v>0</v>
      </c>
      <c r="S60" s="1795">
        <f t="shared" si="10"/>
        <v>0</v>
      </c>
      <c r="T60" s="1796">
        <f t="shared" si="11"/>
        <v>0</v>
      </c>
      <c r="U60" s="1698"/>
      <c r="V60" s="1699">
        <f>'[18]16.โครงการ รายเดือน'!$BI$20</f>
        <v>0</v>
      </c>
      <c r="W60" s="1698"/>
      <c r="X60" s="1699">
        <f>'[18]16.โครงการ รายเดือน'!$CZ$20</f>
        <v>0</v>
      </c>
      <c r="Y60" s="1698"/>
      <c r="Z60" s="1699">
        <f>'[18]16.โครงการ รายเดือน'!$DA$20</f>
        <v>1575</v>
      </c>
      <c r="AA60" s="1794">
        <f t="shared" si="12"/>
        <v>0</v>
      </c>
      <c r="AB60" s="1795">
        <f t="shared" si="6"/>
        <v>1575</v>
      </c>
      <c r="AC60" s="1796">
        <f t="shared" si="7"/>
        <v>-1575</v>
      </c>
      <c r="AD60" s="1698"/>
      <c r="AE60" s="1699">
        <f>'[18]16.โครงการ รายเดือน'!$DB$20</f>
        <v>700</v>
      </c>
      <c r="AF60" s="1698"/>
      <c r="AG60" s="1699">
        <f>'[18]16.โครงการ รายเดือน'!$DC$20</f>
        <v>0</v>
      </c>
      <c r="AH60" s="1698"/>
      <c r="AI60" s="1699">
        <f>'[18]16.โครงการ รายเดือน'!$DD$20</f>
        <v>433874.3</v>
      </c>
      <c r="AJ60" s="1794">
        <f t="shared" si="37"/>
        <v>0</v>
      </c>
      <c r="AK60" s="1795">
        <f t="shared" si="20"/>
        <v>434574.3</v>
      </c>
      <c r="AL60" s="1796">
        <f t="shared" si="21"/>
        <v>-434574.3</v>
      </c>
      <c r="AM60" s="1698"/>
      <c r="AN60" s="1699">
        <f>'[18]16.โครงการ รายเดือน'!$DE$20</f>
        <v>36594</v>
      </c>
      <c r="AO60" s="1698"/>
      <c r="AP60" s="1699">
        <f>'[18]16.โครงการ รายเดือน'!$DF$20</f>
        <v>14380</v>
      </c>
      <c r="AQ60" s="1698"/>
      <c r="AR60" s="1699">
        <f>'[18]16.โครงการ รายเดือน'!$DG$20</f>
        <v>132490</v>
      </c>
      <c r="AS60" s="1794">
        <f t="shared" si="38"/>
        <v>0</v>
      </c>
      <c r="AT60" s="1795">
        <f t="shared" si="22"/>
        <v>183464</v>
      </c>
      <c r="AU60" s="1796">
        <f t="shared" si="23"/>
        <v>-183464</v>
      </c>
      <c r="AV60" s="1829">
        <f>H60-S60-AB60</f>
        <v>3939925</v>
      </c>
      <c r="AW60" s="1794">
        <f>G60+R60+AA60+AJ60+AS60</f>
        <v>0</v>
      </c>
      <c r="AX60" s="1819">
        <f t="shared" si="53"/>
        <v>619613.30000000005</v>
      </c>
      <c r="AY60" s="1819">
        <f>E60-AX60</f>
        <v>7083386.7000000002</v>
      </c>
    </row>
    <row r="61" spans="1:71" ht="34.5" customHeight="1" thickBot="1" x14ac:dyDescent="0.35">
      <c r="A61" s="1652"/>
      <c r="B61" s="1683"/>
      <c r="C61" s="3340" t="s">
        <v>642</v>
      </c>
      <c r="D61" s="3341"/>
      <c r="E61" s="1864">
        <v>1500000</v>
      </c>
      <c r="F61" s="1849">
        <v>660000</v>
      </c>
      <c r="G61" s="1887">
        <v>658800</v>
      </c>
      <c r="H61" s="1870">
        <f>F61-G61</f>
        <v>1200</v>
      </c>
      <c r="I61" s="1796"/>
      <c r="J61" s="1870"/>
      <c r="K61" s="1870"/>
      <c r="L61" s="1698"/>
      <c r="M61" s="1699"/>
      <c r="N61" s="1698"/>
      <c r="O61" s="1699"/>
      <c r="P61" s="1698"/>
      <c r="Q61" s="1699"/>
      <c r="R61" s="1794">
        <f t="shared" si="46"/>
        <v>0</v>
      </c>
      <c r="S61" s="1795">
        <f t="shared" si="10"/>
        <v>0</v>
      </c>
      <c r="T61" s="1796">
        <f t="shared" si="11"/>
        <v>0</v>
      </c>
      <c r="U61" s="1698">
        <v>8550</v>
      </c>
      <c r="V61" s="1699"/>
      <c r="W61" s="1698"/>
      <c r="X61" s="1699"/>
      <c r="Y61" s="1698"/>
      <c r="Z61" s="1699"/>
      <c r="AA61" s="1794">
        <f t="shared" si="12"/>
        <v>8550</v>
      </c>
      <c r="AB61" s="1795">
        <f t="shared" si="6"/>
        <v>0</v>
      </c>
      <c r="AC61" s="1796">
        <f t="shared" si="7"/>
        <v>8550</v>
      </c>
      <c r="AD61" s="1698"/>
      <c r="AE61" s="1699"/>
      <c r="AF61" s="1698"/>
      <c r="AG61" s="1699"/>
      <c r="AH61" s="1698"/>
      <c r="AI61" s="1699"/>
      <c r="AJ61" s="1794">
        <f t="shared" si="37"/>
        <v>0</v>
      </c>
      <c r="AK61" s="1795">
        <f t="shared" si="20"/>
        <v>0</v>
      </c>
      <c r="AL61" s="1796">
        <f t="shared" si="21"/>
        <v>0</v>
      </c>
      <c r="AM61" s="1698"/>
      <c r="AN61" s="1699"/>
      <c r="AO61" s="1698"/>
      <c r="AP61" s="1699"/>
      <c r="AQ61" s="1698"/>
      <c r="AR61" s="1699"/>
      <c r="AS61" s="1794">
        <f t="shared" si="38"/>
        <v>0</v>
      </c>
      <c r="AT61" s="1795">
        <f t="shared" si="22"/>
        <v>0</v>
      </c>
      <c r="AU61" s="1796">
        <f t="shared" si="23"/>
        <v>0</v>
      </c>
      <c r="AV61" s="1833">
        <f t="shared" si="51"/>
        <v>1200</v>
      </c>
      <c r="AW61" s="1794">
        <f>1491450+R61+AA61+AJ61+AS61</f>
        <v>1500000</v>
      </c>
      <c r="AX61" s="1819">
        <f t="shared" si="53"/>
        <v>658800</v>
      </c>
      <c r="AY61" s="1819">
        <f>E61-AX61</f>
        <v>841200</v>
      </c>
      <c r="AZ61" s="395" t="s">
        <v>669</v>
      </c>
      <c r="BA61" s="595"/>
      <c r="BB61" s="595"/>
      <c r="BC61" s="595"/>
    </row>
    <row r="62" spans="1:71" ht="26.25" customHeight="1" thickBot="1" x14ac:dyDescent="0.4">
      <c r="A62" s="1687"/>
      <c r="B62" s="1689"/>
      <c r="C62" s="1688" t="s">
        <v>28</v>
      </c>
      <c r="D62" s="1686"/>
      <c r="E62" s="1735">
        <f>E4+E24+E40</f>
        <v>91875700</v>
      </c>
      <c r="F62" s="1850">
        <f>F4+F24+F40</f>
        <v>44413117</v>
      </c>
      <c r="G62" s="1888">
        <f>G5+G46+G47+G54+G55+G59+G61+G50</f>
        <v>10609237</v>
      </c>
      <c r="H62" s="1736">
        <f t="shared" ref="H62:Q62" si="57">H4+H24+H40</f>
        <v>43855417</v>
      </c>
      <c r="I62" s="1929"/>
      <c r="J62" s="1736"/>
      <c r="K62" s="1736"/>
      <c r="L62" s="1736">
        <f t="shared" si="57"/>
        <v>1705979</v>
      </c>
      <c r="M62" s="1736" t="e">
        <f t="shared" si="57"/>
        <v>#REF!</v>
      </c>
      <c r="N62" s="1736">
        <f t="shared" si="57"/>
        <v>2036017</v>
      </c>
      <c r="O62" s="1736" t="e">
        <f t="shared" si="57"/>
        <v>#REF!</v>
      </c>
      <c r="P62" s="1736">
        <f t="shared" si="57"/>
        <v>2805032</v>
      </c>
      <c r="Q62" s="1736" t="e">
        <f t="shared" si="57"/>
        <v>#REF!</v>
      </c>
      <c r="R62" s="1736">
        <f ca="1">R4+R40+R24</f>
        <v>7146369</v>
      </c>
      <c r="S62" s="1736" t="e">
        <f>S4+S24+S40</f>
        <v>#REF!</v>
      </c>
      <c r="T62" s="1736">
        <f t="shared" ca="1" si="11"/>
        <v>1966593.4499999993</v>
      </c>
      <c r="U62" s="1736">
        <f t="shared" ref="U62:AB62" si="58">U4+U24+U40</f>
        <v>1978442</v>
      </c>
      <c r="V62" s="1736" t="e">
        <f t="shared" si="58"/>
        <v>#REF!</v>
      </c>
      <c r="W62" s="1736">
        <f t="shared" si="58"/>
        <v>2744742</v>
      </c>
      <c r="X62" s="1736" t="e">
        <f t="shared" si="58"/>
        <v>#REF!</v>
      </c>
      <c r="Y62" s="1736" t="e">
        <f t="shared" si="58"/>
        <v>#REF!</v>
      </c>
      <c r="Z62" s="1736" t="e">
        <f t="shared" si="58"/>
        <v>#REF!</v>
      </c>
      <c r="AA62" s="1736" t="e">
        <f t="shared" si="58"/>
        <v>#REF!</v>
      </c>
      <c r="AB62" s="1736" t="e">
        <f t="shared" si="58"/>
        <v>#REF!</v>
      </c>
      <c r="AC62" s="1736" t="e">
        <f t="shared" si="7"/>
        <v>#REF!</v>
      </c>
      <c r="AD62" s="1736"/>
      <c r="AE62" s="1736"/>
      <c r="AF62" s="1736"/>
      <c r="AG62" s="1736"/>
      <c r="AH62" s="1736"/>
      <c r="AI62" s="1736"/>
      <c r="AJ62" s="1736"/>
      <c r="AK62" s="1736"/>
      <c r="AL62" s="1736"/>
      <c r="AM62" s="1736"/>
      <c r="AN62" s="1736"/>
      <c r="AO62" s="1736"/>
      <c r="AP62" s="1736"/>
      <c r="AQ62" s="1736"/>
      <c r="AR62" s="1736"/>
      <c r="AS62" s="1736"/>
      <c r="AT62" s="1736"/>
      <c r="AU62" s="1736"/>
      <c r="AV62" s="1834" t="e">
        <f>AV4+AV24+AV40</f>
        <v>#REF!</v>
      </c>
      <c r="AW62" s="1736">
        <f ca="1">AW4+AW24+AW40</f>
        <v>90437200</v>
      </c>
      <c r="AX62" s="1736" t="e">
        <f>AX4+AX24+AX40</f>
        <v>#REF!</v>
      </c>
      <c r="AY62" s="1736" t="e">
        <f>AY4+AY24+AY40</f>
        <v>#REF!</v>
      </c>
    </row>
    <row r="63" spans="1:71" ht="26.25" customHeight="1" x14ac:dyDescent="0.35">
      <c r="A63" s="1821"/>
      <c r="B63" s="1821"/>
      <c r="C63" s="1822"/>
      <c r="D63" s="1823"/>
      <c r="E63" s="1824"/>
      <c r="F63" s="1824"/>
      <c r="G63" s="1824"/>
      <c r="H63" s="1825"/>
      <c r="I63" s="1825"/>
      <c r="J63" s="1825"/>
      <c r="K63" s="1825"/>
      <c r="L63" s="1825"/>
      <c r="M63" s="1825"/>
      <c r="N63" s="1825"/>
      <c r="O63" s="1825"/>
      <c r="P63" s="1825"/>
      <c r="Q63" s="1825"/>
      <c r="R63" s="1825"/>
      <c r="S63" s="1825"/>
      <c r="T63" s="1825"/>
      <c r="U63" s="1825"/>
      <c r="V63" s="1825"/>
      <c r="W63" s="1825"/>
      <c r="X63" s="1825"/>
      <c r="Y63" s="1825"/>
      <c r="Z63" s="1825"/>
      <c r="AA63" s="1825"/>
      <c r="AB63" s="1825"/>
      <c r="AC63" s="1825"/>
      <c r="AD63" s="1825"/>
      <c r="AE63" s="1825"/>
      <c r="AF63" s="1825"/>
      <c r="AG63" s="1825"/>
      <c r="AH63" s="1825"/>
      <c r="AI63" s="1825"/>
      <c r="AJ63" s="1825"/>
      <c r="AK63" s="1825"/>
      <c r="AL63" s="1825"/>
      <c r="AM63" s="1825"/>
      <c r="AN63" s="1825"/>
      <c r="AO63" s="1825"/>
      <c r="AP63" s="1825"/>
      <c r="AQ63" s="1825"/>
      <c r="AR63" s="1825"/>
      <c r="AS63" s="1825"/>
      <c r="AT63" s="1825"/>
      <c r="AU63" s="1825"/>
      <c r="AV63" s="1825"/>
      <c r="AW63" s="1825"/>
      <c r="AX63" s="1825"/>
      <c r="AY63" s="1825"/>
    </row>
    <row r="64" spans="1:71" ht="16.5" customHeight="1" x14ac:dyDescent="0.3">
      <c r="S64" s="1766"/>
      <c r="U64" s="1766"/>
      <c r="AX64" s="1774" t="s">
        <v>675</v>
      </c>
      <c r="AY64" s="1775">
        <f ca="1">TODAY()</f>
        <v>45660</v>
      </c>
    </row>
    <row r="65" spans="4:20" ht="16.5" customHeight="1" x14ac:dyDescent="0.3">
      <c r="D65" s="1618" t="s">
        <v>18</v>
      </c>
      <c r="R65" s="473" t="s">
        <v>697</v>
      </c>
      <c r="S65" s="473"/>
      <c r="T65" s="473"/>
    </row>
    <row r="66" spans="4:20" ht="16.5" customHeight="1" x14ac:dyDescent="0.3">
      <c r="D66" s="1091" t="s">
        <v>647</v>
      </c>
      <c r="E66" s="473">
        <v>373280</v>
      </c>
      <c r="F66" s="473"/>
      <c r="G66" s="473" t="s">
        <v>646</v>
      </c>
      <c r="H66" s="1742">
        <f>E66*12</f>
        <v>4479360</v>
      </c>
      <c r="I66" s="1742"/>
      <c r="J66" s="1742"/>
      <c r="K66" s="1742"/>
      <c r="L66" s="1806" t="s">
        <v>698</v>
      </c>
      <c r="M66" s="1807"/>
      <c r="N66" s="1806"/>
      <c r="O66" s="1807" t="s">
        <v>699</v>
      </c>
      <c r="R66" s="473" t="s">
        <v>691</v>
      </c>
      <c r="S66" s="473">
        <v>49000</v>
      </c>
      <c r="T66" s="473"/>
    </row>
    <row r="67" spans="4:20" ht="16.5" customHeight="1" x14ac:dyDescent="0.3">
      <c r="D67" s="1091" t="s">
        <v>644</v>
      </c>
      <c r="E67" s="473">
        <v>82000</v>
      </c>
      <c r="F67" s="473"/>
      <c r="G67" s="473" t="s">
        <v>646</v>
      </c>
      <c r="H67" s="1742">
        <f>E67*12</f>
        <v>984000</v>
      </c>
      <c r="I67" s="1742"/>
      <c r="J67" s="1742"/>
      <c r="K67" s="1742"/>
      <c r="R67" s="473" t="s">
        <v>692</v>
      </c>
      <c r="S67" s="473">
        <v>855700</v>
      </c>
      <c r="T67" s="473"/>
    </row>
    <row r="68" spans="4:20" ht="16.5" customHeight="1" x14ac:dyDescent="0.3">
      <c r="D68" s="1091" t="s">
        <v>645</v>
      </c>
      <c r="E68" s="473">
        <v>11000</v>
      </c>
      <c r="F68" s="473"/>
      <c r="G68" s="473"/>
      <c r="H68" s="1742">
        <f>E68</f>
        <v>11000</v>
      </c>
      <c r="I68" s="1742"/>
      <c r="J68" s="1742"/>
      <c r="K68" s="1742"/>
      <c r="L68" s="416" t="s">
        <v>674</v>
      </c>
      <c r="R68" s="473" t="s">
        <v>693</v>
      </c>
      <c r="S68" s="473">
        <v>123000</v>
      </c>
      <c r="T68" s="473"/>
    </row>
    <row r="69" spans="4:20" ht="16.5" customHeight="1" thickBot="1" x14ac:dyDescent="0.35">
      <c r="D69" s="1091"/>
      <c r="E69" s="473"/>
      <c r="F69" s="473"/>
      <c r="G69" s="473"/>
      <c r="H69" s="1876">
        <f>SUM(H66:H68)</f>
        <v>5474360</v>
      </c>
      <c r="I69" s="1919"/>
      <c r="J69" s="1919"/>
      <c r="K69" s="1919"/>
      <c r="R69" s="473" t="s">
        <v>694</v>
      </c>
      <c r="S69" s="473">
        <v>49000</v>
      </c>
      <c r="T69" s="473"/>
    </row>
    <row r="70" spans="4:20" ht="16.5" customHeight="1" thickTop="1" x14ac:dyDescent="0.3">
      <c r="D70" s="1091" t="s">
        <v>650</v>
      </c>
      <c r="E70" s="473">
        <v>13800</v>
      </c>
      <c r="F70" s="473"/>
      <c r="G70" s="473" t="s">
        <v>646</v>
      </c>
      <c r="H70" s="1742">
        <f>E70*12</f>
        <v>165600</v>
      </c>
      <c r="I70" s="1742"/>
      <c r="J70" s="1742"/>
      <c r="K70" s="1742"/>
      <c r="R70" s="473" t="s">
        <v>695</v>
      </c>
      <c r="S70" s="473">
        <v>13200</v>
      </c>
      <c r="T70" s="473"/>
    </row>
    <row r="71" spans="4:20" ht="26.25" customHeight="1" x14ac:dyDescent="0.3">
      <c r="R71" s="473" t="s">
        <v>696</v>
      </c>
      <c r="S71" s="473">
        <v>7900</v>
      </c>
      <c r="T71" s="473"/>
    </row>
    <row r="72" spans="4:20" ht="19.5" thickBot="1" x14ac:dyDescent="0.35">
      <c r="R72" s="473" t="s">
        <v>28</v>
      </c>
      <c r="S72" s="1765">
        <f>SUM(S66:S71)</f>
        <v>1097800</v>
      </c>
      <c r="T72" s="473"/>
    </row>
    <row r="73" spans="4:20" ht="19.5" thickTop="1" x14ac:dyDescent="0.3">
      <c r="D73" s="1091" t="s">
        <v>627</v>
      </c>
      <c r="E73" s="1661" t="s">
        <v>651</v>
      </c>
      <c r="F73" s="1661"/>
      <c r="G73" s="1661" t="s">
        <v>652</v>
      </c>
      <c r="H73" s="1877" t="s">
        <v>653</v>
      </c>
      <c r="I73" s="1877"/>
      <c r="J73" s="1877"/>
      <c r="K73" s="1877"/>
      <c r="L73" s="1662" t="s">
        <v>654</v>
      </c>
      <c r="M73" s="1663" t="s">
        <v>28</v>
      </c>
      <c r="N73" s="1764" t="s">
        <v>687</v>
      </c>
      <c r="O73" s="1764" t="s">
        <v>686</v>
      </c>
      <c r="P73" s="1764" t="s">
        <v>688</v>
      </c>
      <c r="Q73" s="1803" t="s">
        <v>16</v>
      </c>
    </row>
    <row r="74" spans="4:20" ht="18.75" x14ac:dyDescent="0.3">
      <c r="D74" s="1657" t="s">
        <v>6</v>
      </c>
      <c r="E74" s="473">
        <f>181800-150000</f>
        <v>31800</v>
      </c>
      <c r="F74" s="473"/>
      <c r="G74" s="473">
        <v>221800</v>
      </c>
      <c r="H74" s="1762">
        <v>221800</v>
      </c>
      <c r="I74" s="1920"/>
      <c r="J74" s="1920"/>
      <c r="K74" s="1920"/>
      <c r="L74" s="473">
        <v>181800</v>
      </c>
      <c r="M74" s="1764">
        <f t="shared" ref="M74:M83" si="59">SUM(E74:L74)</f>
        <v>657200</v>
      </c>
      <c r="N74" s="1764">
        <v>181800</v>
      </c>
      <c r="O74" s="1764">
        <v>150000</v>
      </c>
      <c r="P74" s="1764">
        <v>775400</v>
      </c>
      <c r="Q74" s="1742">
        <f>P74-O74</f>
        <v>625400</v>
      </c>
      <c r="R74" s="1805">
        <f>775400-150000-100400</f>
        <v>525000</v>
      </c>
    </row>
    <row r="75" spans="4:20" ht="18.75" x14ac:dyDescent="0.3">
      <c r="D75" s="1658" t="s">
        <v>2</v>
      </c>
      <c r="E75" s="473">
        <v>2000</v>
      </c>
      <c r="F75" s="473"/>
      <c r="G75" s="473">
        <v>3000</v>
      </c>
      <c r="H75" s="1762">
        <v>3000</v>
      </c>
      <c r="I75" s="1920"/>
      <c r="J75" s="1920"/>
      <c r="K75" s="1920"/>
      <c r="L75" s="473">
        <v>2000</v>
      </c>
      <c r="M75" s="1764">
        <f t="shared" si="59"/>
        <v>10000</v>
      </c>
      <c r="N75" s="1764">
        <v>2000</v>
      </c>
      <c r="O75" s="1764"/>
      <c r="P75" s="1764">
        <v>6000</v>
      </c>
      <c r="Q75" s="1742">
        <f t="shared" ref="Q75:Q83" si="60">P75-O75</f>
        <v>6000</v>
      </c>
      <c r="R75" s="1677">
        <f>2000+3000+3000+2000-4000</f>
        <v>6000</v>
      </c>
    </row>
    <row r="76" spans="4:20" ht="18.75" x14ac:dyDescent="0.3">
      <c r="D76" s="1658" t="s">
        <v>1</v>
      </c>
      <c r="E76" s="473">
        <f>59140-10000</f>
        <v>49140</v>
      </c>
      <c r="F76" s="473"/>
      <c r="G76" s="473">
        <v>136400</v>
      </c>
      <c r="H76" s="1763">
        <v>138840</v>
      </c>
      <c r="I76" s="1921"/>
      <c r="J76" s="1921"/>
      <c r="K76" s="1921"/>
      <c r="L76" s="473">
        <v>114160</v>
      </c>
      <c r="M76" s="1764">
        <f t="shared" si="59"/>
        <v>438540</v>
      </c>
      <c r="N76" s="1764">
        <v>59140</v>
      </c>
      <c r="O76" s="1764">
        <v>10000</v>
      </c>
      <c r="P76" s="1764">
        <v>294218</v>
      </c>
      <c r="Q76" s="1742">
        <f t="shared" si="60"/>
        <v>284218</v>
      </c>
      <c r="R76" s="1677">
        <f>294218-10000</f>
        <v>284218</v>
      </c>
    </row>
    <row r="77" spans="4:20" ht="18.75" x14ac:dyDescent="0.3">
      <c r="D77" s="1658" t="s">
        <v>3</v>
      </c>
      <c r="E77" s="473">
        <v>11500</v>
      </c>
      <c r="F77" s="473"/>
      <c r="G77" s="473">
        <v>16500</v>
      </c>
      <c r="H77" s="1763">
        <v>38125</v>
      </c>
      <c r="I77" s="1921"/>
      <c r="J77" s="1921"/>
      <c r="K77" s="1921"/>
      <c r="L77" s="1742">
        <v>11500</v>
      </c>
      <c r="M77" s="1764">
        <f t="shared" si="59"/>
        <v>77625</v>
      </c>
      <c r="N77" s="1764">
        <v>11500</v>
      </c>
      <c r="O77" s="1764"/>
      <c r="P77" s="1764">
        <v>77000</v>
      </c>
      <c r="Q77" s="1742">
        <f t="shared" si="60"/>
        <v>77000</v>
      </c>
      <c r="R77" s="1677">
        <f>11500+16500+38125+11500-625</f>
        <v>77000</v>
      </c>
    </row>
    <row r="78" spans="4:20" ht="18.75" x14ac:dyDescent="0.3">
      <c r="D78" s="1658" t="s">
        <v>24</v>
      </c>
      <c r="E78" s="473">
        <f>91500-10000</f>
        <v>81500</v>
      </c>
      <c r="F78" s="473"/>
      <c r="G78" s="473">
        <v>269500</v>
      </c>
      <c r="H78" s="1763">
        <v>338000</v>
      </c>
      <c r="I78" s="1921"/>
      <c r="J78" s="1921"/>
      <c r="K78" s="1921"/>
      <c r="L78" s="1742">
        <v>201000</v>
      </c>
      <c r="M78" s="1764">
        <f t="shared" si="59"/>
        <v>890000</v>
      </c>
      <c r="N78" s="1764">
        <v>91500</v>
      </c>
      <c r="O78" s="1764">
        <v>10000</v>
      </c>
      <c r="P78" s="1764">
        <v>740000</v>
      </c>
      <c r="Q78" s="1742">
        <f t="shared" si="60"/>
        <v>730000</v>
      </c>
      <c r="R78" s="1677">
        <f>740000-10000</f>
        <v>730000</v>
      </c>
      <c r="T78" s="473"/>
    </row>
    <row r="79" spans="4:20" ht="18.75" x14ac:dyDescent="0.3">
      <c r="D79" s="1658" t="s">
        <v>23</v>
      </c>
      <c r="E79" s="473">
        <f>435900-200000</f>
        <v>235900</v>
      </c>
      <c r="F79" s="473"/>
      <c r="G79" s="473">
        <v>219125</v>
      </c>
      <c r="H79" s="1763">
        <v>172525</v>
      </c>
      <c r="I79" s="1921"/>
      <c r="J79" s="1921"/>
      <c r="K79" s="1921"/>
      <c r="L79" s="1742">
        <v>67350</v>
      </c>
      <c r="M79" s="1764">
        <f t="shared" si="59"/>
        <v>694900</v>
      </c>
      <c r="N79" s="1764">
        <v>435900</v>
      </c>
      <c r="O79" s="1764">
        <v>200000</v>
      </c>
      <c r="P79" s="1764">
        <v>741900</v>
      </c>
      <c r="Q79" s="1742">
        <f t="shared" si="60"/>
        <v>541900</v>
      </c>
      <c r="R79" s="1677">
        <f>741900-200000</f>
        <v>541900</v>
      </c>
    </row>
    <row r="80" spans="4:20" ht="18.75" x14ac:dyDescent="0.3">
      <c r="D80" s="1658" t="s">
        <v>4</v>
      </c>
      <c r="E80" s="473">
        <v>30000</v>
      </c>
      <c r="F80" s="473"/>
      <c r="G80" s="473">
        <v>30000</v>
      </c>
      <c r="H80" s="1763">
        <v>67000</v>
      </c>
      <c r="I80" s="1921"/>
      <c r="J80" s="1921"/>
      <c r="K80" s="1921"/>
      <c r="L80" s="1742">
        <v>52000</v>
      </c>
      <c r="M80" s="1764">
        <f t="shared" si="59"/>
        <v>179000</v>
      </c>
      <c r="N80" s="1764">
        <v>30000</v>
      </c>
      <c r="O80" s="1764"/>
      <c r="P80" s="1764">
        <v>147000</v>
      </c>
      <c r="Q80" s="1742">
        <f t="shared" si="60"/>
        <v>147000</v>
      </c>
      <c r="R80" s="1677">
        <f>147000</f>
        <v>147000</v>
      </c>
    </row>
    <row r="81" spans="4:18" ht="18.75" x14ac:dyDescent="0.3">
      <c r="D81" s="1658" t="s">
        <v>20</v>
      </c>
      <c r="E81" s="473">
        <f>50200-10000</f>
        <v>40200</v>
      </c>
      <c r="F81" s="473"/>
      <c r="G81" s="473">
        <v>240200</v>
      </c>
      <c r="H81" s="1763">
        <v>160200</v>
      </c>
      <c r="I81" s="1921"/>
      <c r="J81" s="1921"/>
      <c r="K81" s="1921"/>
      <c r="L81" s="1742">
        <v>170200</v>
      </c>
      <c r="M81" s="1764">
        <f t="shared" si="59"/>
        <v>610800</v>
      </c>
      <c r="N81" s="1764">
        <v>50200</v>
      </c>
      <c r="O81" s="1764">
        <v>10000</v>
      </c>
      <c r="P81" s="1804">
        <v>500800</v>
      </c>
      <c r="Q81" s="1742">
        <f t="shared" si="60"/>
        <v>490800</v>
      </c>
      <c r="R81" s="1677">
        <f>500800-10000</f>
        <v>490800</v>
      </c>
    </row>
    <row r="82" spans="4:18" ht="18.75" x14ac:dyDescent="0.3">
      <c r="D82" s="1659" t="s">
        <v>5</v>
      </c>
      <c r="E82" s="472">
        <f>121525-20000</f>
        <v>101525</v>
      </c>
      <c r="F82" s="472"/>
      <c r="G82" s="472">
        <v>58520</v>
      </c>
      <c r="H82" s="1763">
        <v>100970</v>
      </c>
      <c r="I82" s="1921"/>
      <c r="J82" s="1921"/>
      <c r="K82" s="1921"/>
      <c r="L82" s="1744">
        <v>99350</v>
      </c>
      <c r="M82" s="1764">
        <f t="shared" si="59"/>
        <v>360365</v>
      </c>
      <c r="N82" s="1764">
        <v>121525</v>
      </c>
      <c r="O82" s="1764">
        <v>20000</v>
      </c>
      <c r="P82" s="1764">
        <v>307610</v>
      </c>
      <c r="Q82" s="1742">
        <f t="shared" si="60"/>
        <v>287610</v>
      </c>
      <c r="R82" s="1677">
        <f>307610-20000</f>
        <v>287610</v>
      </c>
    </row>
    <row r="83" spans="4:18" ht="18.75" x14ac:dyDescent="0.3">
      <c r="D83" s="1658" t="s">
        <v>21</v>
      </c>
      <c r="E83" s="473">
        <f>38000-20000</f>
        <v>18000</v>
      </c>
      <c r="F83" s="473"/>
      <c r="G83" s="473">
        <v>58000</v>
      </c>
      <c r="H83" s="1763">
        <v>43000</v>
      </c>
      <c r="I83" s="1921"/>
      <c r="J83" s="1921"/>
      <c r="K83" s="1921"/>
      <c r="L83" s="1742">
        <v>3000</v>
      </c>
      <c r="M83" s="1764">
        <f t="shared" si="59"/>
        <v>122000</v>
      </c>
      <c r="N83" s="1764">
        <v>38000</v>
      </c>
      <c r="O83" s="1764">
        <v>20000</v>
      </c>
      <c r="P83" s="1764">
        <v>266000</v>
      </c>
      <c r="Q83" s="1742">
        <f t="shared" si="60"/>
        <v>246000</v>
      </c>
      <c r="R83" s="1677">
        <f>266000-20000</f>
        <v>246000</v>
      </c>
    </row>
    <row r="84" spans="4:18" ht="26.25" customHeight="1" thickBot="1" x14ac:dyDescent="0.35">
      <c r="E84" s="1660">
        <f t="shared" ref="E84:R84" si="61">SUM(E74:E83)</f>
        <v>601565</v>
      </c>
      <c r="F84" s="1660"/>
      <c r="G84" s="1660">
        <f t="shared" si="61"/>
        <v>1253045</v>
      </c>
      <c r="H84" s="1743">
        <f t="shared" si="61"/>
        <v>1283460</v>
      </c>
      <c r="I84" s="1743"/>
      <c r="J84" s="1743"/>
      <c r="K84" s="1743"/>
      <c r="L84" s="1743">
        <f t="shared" si="61"/>
        <v>902360</v>
      </c>
      <c r="M84" s="1765">
        <f t="shared" si="61"/>
        <v>4040430</v>
      </c>
      <c r="N84" s="1765">
        <f t="shared" si="61"/>
        <v>1021565</v>
      </c>
      <c r="O84" s="1765">
        <f t="shared" si="61"/>
        <v>420000</v>
      </c>
      <c r="P84" s="1765">
        <f t="shared" si="61"/>
        <v>3855928</v>
      </c>
      <c r="Q84" s="1803">
        <f t="shared" si="61"/>
        <v>3435928</v>
      </c>
      <c r="R84" s="1806">
        <f t="shared" si="61"/>
        <v>3335528</v>
      </c>
    </row>
    <row r="85" spans="4:18" ht="26.25" customHeight="1" thickTop="1" x14ac:dyDescent="0.3"/>
  </sheetData>
  <mergeCells count="48">
    <mergeCell ref="C36:D36"/>
    <mergeCell ref="C37:D37"/>
    <mergeCell ref="C38:D38"/>
    <mergeCell ref="A33:D33"/>
    <mergeCell ref="C39:D39"/>
    <mergeCell ref="C61:D61"/>
    <mergeCell ref="H2:H3"/>
    <mergeCell ref="C50:D50"/>
    <mergeCell ref="C54:D54"/>
    <mergeCell ref="C55:D55"/>
    <mergeCell ref="B44:D44"/>
    <mergeCell ref="B45:D45"/>
    <mergeCell ref="C46:D46"/>
    <mergeCell ref="C47:D47"/>
    <mergeCell ref="C59:D59"/>
    <mergeCell ref="E2:E3"/>
    <mergeCell ref="B31:D31"/>
    <mergeCell ref="A25:D25"/>
    <mergeCell ref="B32:D32"/>
    <mergeCell ref="C60:D60"/>
    <mergeCell ref="B58:D58"/>
    <mergeCell ref="AY2:AY3"/>
    <mergeCell ref="B35:D35"/>
    <mergeCell ref="B34:D34"/>
    <mergeCell ref="Y2:Z2"/>
    <mergeCell ref="A2:D3"/>
    <mergeCell ref="AJ2:AL2"/>
    <mergeCell ref="AS2:AU2"/>
    <mergeCell ref="AF2:AG2"/>
    <mergeCell ref="U2:V2"/>
    <mergeCell ref="AO2:AP2"/>
    <mergeCell ref="AV2:AV3"/>
    <mergeCell ref="R2:T2"/>
    <mergeCell ref="AM2:AN2"/>
    <mergeCell ref="P2:Q2"/>
    <mergeCell ref="G2:G3"/>
    <mergeCell ref="AH2:AI2"/>
    <mergeCell ref="A1:AC1"/>
    <mergeCell ref="AD2:AE2"/>
    <mergeCell ref="F2:F3"/>
    <mergeCell ref="I2:I3"/>
    <mergeCell ref="AQ2:AR2"/>
    <mergeCell ref="AA2:AC2"/>
    <mergeCell ref="L2:M2"/>
    <mergeCell ref="N2:O2"/>
    <mergeCell ref="W2:X2"/>
    <mergeCell ref="J2:J3"/>
    <mergeCell ref="K2:K3"/>
  </mergeCells>
  <phoneticPr fontId="2" type="noConversion"/>
  <pageMargins left="0.23622047244094491" right="0.23622047244094491" top="0.35433070866141736" bottom="0.35433070866141736" header="0.31496062992125984" footer="0.31496062992125984"/>
  <pageSetup paperSize="9" scale="60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BY87"/>
  <sheetViews>
    <sheetView view="pageBreakPreview" zoomScaleNormal="100" zoomScaleSheetLayoutView="100" workbookViewId="0">
      <pane xSplit="5" ySplit="4" topLeftCell="L5" activePane="bottomRight" state="frozen"/>
      <selection pane="topRight" activeCell="F1" sqref="F1"/>
      <selection pane="bottomLeft" activeCell="A4" sqref="A4"/>
      <selection pane="bottomRight" activeCell="E5" sqref="E5"/>
    </sheetView>
  </sheetViews>
  <sheetFormatPr defaultColWidth="9" defaultRowHeight="26.25" customHeight="1" x14ac:dyDescent="0.3"/>
  <cols>
    <col min="1" max="1" width="2.28515625" style="1062" customWidth="1"/>
    <col min="2" max="2" width="2.42578125" style="1062" customWidth="1"/>
    <col min="3" max="3" width="3" style="1062" customWidth="1"/>
    <col min="4" max="4" width="35" style="1062" customWidth="1"/>
    <col min="5" max="5" width="13.140625" style="395" customWidth="1"/>
    <col min="6" max="7" width="12.85546875" style="395" hidden="1" customWidth="1"/>
    <col min="8" max="9" width="13" style="2196" hidden="1" customWidth="1"/>
    <col min="10" max="10" width="11.7109375" style="2196" hidden="1" customWidth="1"/>
    <col min="11" max="11" width="13" style="2196" hidden="1" customWidth="1"/>
    <col min="12" max="12" width="13" style="2196" customWidth="1"/>
    <col min="13" max="13" width="13.28515625" style="2196" customWidth="1"/>
    <col min="14" max="14" width="12.42578125" style="2196" customWidth="1"/>
    <col min="15" max="15" width="12.140625" style="395" hidden="1" customWidth="1"/>
    <col min="16" max="16" width="11.42578125" style="2197" hidden="1" customWidth="1"/>
    <col min="17" max="17" width="11.85546875" style="395" hidden="1" customWidth="1"/>
    <col min="18" max="18" width="11.42578125" style="2197" hidden="1" customWidth="1"/>
    <col min="19" max="19" width="11.85546875" style="395" hidden="1" customWidth="1"/>
    <col min="20" max="20" width="11.42578125" style="2197" hidden="1" customWidth="1"/>
    <col min="21" max="21" width="11.5703125" style="395" hidden="1" customWidth="1"/>
    <col min="22" max="22" width="12.85546875" style="395" hidden="1" customWidth="1"/>
    <col min="23" max="23" width="11.85546875" style="395" hidden="1" customWidth="1"/>
    <col min="24" max="24" width="12.140625" style="395" hidden="1" customWidth="1"/>
    <col min="25" max="27" width="11.5703125" style="395" hidden="1" customWidth="1"/>
    <col min="28" max="28" width="13" style="395" hidden="1" customWidth="1"/>
    <col min="29" max="29" width="12" style="395" hidden="1" customWidth="1"/>
    <col min="30" max="30" width="13.42578125" style="395" hidden="1" customWidth="1"/>
    <col min="31" max="31" width="12.7109375" style="395" hidden="1" customWidth="1"/>
    <col min="32" max="32" width="13.28515625" style="395" hidden="1" customWidth="1"/>
    <col min="33" max="33" width="11.7109375" style="2197" hidden="1" customWidth="1"/>
    <col min="34" max="34" width="14.42578125" style="2197" hidden="1" customWidth="1"/>
    <col min="35" max="35" width="13.42578125" style="2197" hidden="1" customWidth="1"/>
    <col min="36" max="36" width="11.85546875" style="2197" hidden="1" customWidth="1"/>
    <col min="37" max="37" width="13.28515625" style="2197" hidden="1" customWidth="1"/>
    <col min="38" max="38" width="13" style="2197" hidden="1" customWidth="1"/>
    <col min="39" max="39" width="13.85546875" style="2197" hidden="1" customWidth="1"/>
    <col min="40" max="40" width="12.5703125" style="2197" hidden="1" customWidth="1"/>
    <col min="41" max="41" width="13.140625" style="2197" hidden="1" customWidth="1"/>
    <col min="42" max="42" width="12" style="1655" customWidth="1"/>
    <col min="43" max="43" width="13.7109375" style="1655" customWidth="1"/>
    <col min="44" max="44" width="11.85546875" style="1655" customWidth="1"/>
    <col min="45" max="45" width="8.140625" style="1655" customWidth="1"/>
    <col min="46" max="46" width="11.5703125" style="1655" customWidth="1"/>
    <col min="47" max="47" width="10.28515625" style="1655" customWidth="1"/>
    <col min="48" max="48" width="14.28515625" style="1655" customWidth="1"/>
    <col min="49" max="49" width="14.7109375" style="1655" customWidth="1"/>
    <col min="50" max="50" width="14.42578125" style="1655" customWidth="1"/>
    <col min="51" max="52" width="13.7109375" style="1655" customWidth="1"/>
    <col min="53" max="53" width="13" style="1655" customWidth="1"/>
    <col min="54" max="54" width="14.42578125" style="1656" customWidth="1"/>
    <col min="55" max="57" width="13.140625" style="1656" customWidth="1"/>
    <col min="58" max="58" width="33.140625" style="416" customWidth="1"/>
    <col min="59" max="60" width="11.5703125" style="366" customWidth="1"/>
    <col min="61" max="61" width="9" style="366"/>
    <col min="62" max="62" width="13.28515625" style="366" customWidth="1"/>
    <col min="63" max="63" width="9" style="366"/>
    <col min="64" max="64" width="10.28515625" style="1125" customWidth="1"/>
    <col min="65" max="65" width="15.85546875" style="1125" customWidth="1"/>
    <col min="66" max="66" width="12.5703125" style="1125" customWidth="1"/>
    <col min="67" max="67" width="11.28515625" style="1125" customWidth="1"/>
    <col min="68" max="68" width="10" style="1125" bestFit="1" customWidth="1"/>
    <col min="69" max="77" width="9" style="1125"/>
    <col min="78" max="16384" width="9" style="1062"/>
  </cols>
  <sheetData>
    <row r="1" spans="1:68" ht="25.5" customHeight="1" x14ac:dyDescent="0.3">
      <c r="A1" s="3305" t="s">
        <v>689</v>
      </c>
      <c r="B1" s="3305"/>
      <c r="C1" s="3305"/>
      <c r="D1" s="3305"/>
      <c r="E1" s="3305"/>
      <c r="F1" s="3305"/>
      <c r="G1" s="3305"/>
      <c r="H1" s="3305"/>
      <c r="I1" s="3305"/>
      <c r="J1" s="3305"/>
      <c r="K1" s="3305"/>
      <c r="L1" s="3305"/>
      <c r="M1" s="3305"/>
      <c r="N1" s="3305"/>
      <c r="O1" s="3305"/>
      <c r="P1" s="3305"/>
      <c r="Q1" s="3305"/>
      <c r="R1" s="3305"/>
      <c r="S1" s="3305"/>
      <c r="T1" s="3305"/>
      <c r="U1" s="3305"/>
      <c r="V1" s="3305"/>
      <c r="W1" s="3305"/>
      <c r="X1" s="3305"/>
      <c r="Y1" s="3305"/>
      <c r="Z1" s="3305"/>
      <c r="AA1" s="3305"/>
      <c r="AB1" s="3305"/>
      <c r="AC1" s="3305"/>
      <c r="AD1" s="3305"/>
      <c r="AE1" s="3305"/>
      <c r="AF1" s="3305"/>
      <c r="AG1" s="2070"/>
      <c r="AH1" s="2070"/>
      <c r="AI1" s="2070"/>
      <c r="AJ1" s="2070"/>
      <c r="AK1" s="2070"/>
      <c r="AL1" s="2070"/>
      <c r="AM1" s="2070"/>
      <c r="AN1" s="2070"/>
      <c r="AO1" s="2070"/>
      <c r="AP1" s="1665"/>
      <c r="AQ1" s="1665"/>
      <c r="AR1" s="1665"/>
      <c r="AS1" s="1665"/>
      <c r="AT1" s="1665"/>
      <c r="AU1" s="1665"/>
      <c r="AV1" s="1665"/>
      <c r="AW1" s="1665"/>
      <c r="AX1" s="1665"/>
      <c r="AY1" s="2043">
        <f>F6-7684950</f>
        <v>-462366</v>
      </c>
      <c r="AZ1" s="1895"/>
      <c r="BA1" s="1665"/>
      <c r="BB1" s="1774" t="s">
        <v>675</v>
      </c>
      <c r="BC1" s="1799">
        <f ca="1">TODAY()</f>
        <v>45660</v>
      </c>
      <c r="BD1" s="1799"/>
      <c r="BE1" s="1799"/>
    </row>
    <row r="2" spans="1:68" ht="25.5" customHeight="1" thickBot="1" x14ac:dyDescent="0.35">
      <c r="A2" s="1063"/>
      <c r="B2" s="1063"/>
      <c r="C2" s="1063"/>
      <c r="D2" s="1063"/>
      <c r="E2" s="943">
        <f>E6-E7-E8-E9-E10-E11-E13-E14-E15</f>
        <v>0</v>
      </c>
      <c r="F2" s="943">
        <f>E5/2</f>
        <v>7684950</v>
      </c>
      <c r="G2" s="943">
        <f>G6</f>
        <v>557700</v>
      </c>
      <c r="H2" s="943">
        <f>F2-G7-H7-H8-H9-H10-H11-H13-H14-H15</f>
        <v>462366</v>
      </c>
      <c r="I2" s="2071">
        <f>3378995+463503</f>
        <v>3842498</v>
      </c>
      <c r="J2" s="791">
        <v>463503</v>
      </c>
      <c r="K2" s="943">
        <f>I2-J2-K8-K9-K10-K11-K13-K14-K15</f>
        <v>-231925</v>
      </c>
      <c r="L2" s="943">
        <f>E5-F5-I5</f>
        <v>3842452</v>
      </c>
      <c r="M2" s="943">
        <f>M6</f>
        <v>83723</v>
      </c>
      <c r="N2" s="943">
        <f>L2-M2-N8-N9-N10-N11-N13-N14-N15</f>
        <v>-907756</v>
      </c>
      <c r="O2" s="2072">
        <f>F5-G7+I5-J7</f>
        <v>10506245</v>
      </c>
      <c r="P2" s="2073">
        <v>358500</v>
      </c>
      <c r="Q2" s="2072">
        <f>O2-P2</f>
        <v>10147745</v>
      </c>
      <c r="R2" s="2073" t="e">
        <f>P6+R6+T6+Y6+AA6+AC6+AH6+AJ6</f>
        <v>#REF!</v>
      </c>
      <c r="S2" s="2072" t="e">
        <f>Q2-R2</f>
        <v>#REF!</v>
      </c>
      <c r="T2" s="2073">
        <f>AI8+AI9+AI10+AI11+AI13+AI14+AK8+AK9+AK10+AK11+AK13+AK14</f>
        <v>1932384</v>
      </c>
      <c r="U2" s="2072" t="e">
        <f>S2-T2</f>
        <v>#REF!</v>
      </c>
      <c r="V2" s="2074">
        <f>30000+100000</f>
        <v>130000</v>
      </c>
      <c r="W2" s="2072" t="e">
        <f>U2+V2</f>
        <v>#REF!</v>
      </c>
      <c r="X2" s="791"/>
      <c r="Y2" s="2071">
        <v>3758677</v>
      </c>
      <c r="Z2" s="2071">
        <v>2539772</v>
      </c>
      <c r="AA2" s="943">
        <f>Y2-Z2</f>
        <v>1218905</v>
      </c>
      <c r="AB2" s="2071">
        <v>858434</v>
      </c>
      <c r="AC2" s="943">
        <f>AA2-AB2</f>
        <v>360471</v>
      </c>
      <c r="AD2" s="791"/>
      <c r="AE2" s="791"/>
      <c r="AF2" s="791"/>
      <c r="AG2" s="791"/>
      <c r="AH2" s="791"/>
      <c r="AI2" s="791"/>
      <c r="AJ2" s="791"/>
      <c r="AK2" s="791"/>
      <c r="AL2" s="791"/>
      <c r="AM2" s="791"/>
      <c r="AN2" s="791"/>
      <c r="AO2" s="791"/>
      <c r="AP2" s="1063"/>
      <c r="AQ2" s="1063"/>
      <c r="AR2" s="1063"/>
      <c r="AS2" s="1063"/>
      <c r="AT2" s="1063"/>
      <c r="AU2" s="1063"/>
      <c r="AV2" s="1063"/>
      <c r="AW2" s="1063"/>
      <c r="AX2" s="1063"/>
      <c r="AY2" s="1069"/>
      <c r="AZ2" s="1069"/>
      <c r="BA2" s="1063"/>
      <c r="BB2" s="1774"/>
      <c r="BC2" s="1799"/>
      <c r="BD2" s="1799"/>
      <c r="BE2" s="1799"/>
    </row>
    <row r="3" spans="1:68" ht="22.5" customHeight="1" thickTop="1" x14ac:dyDescent="0.3">
      <c r="A3" s="3329" t="s">
        <v>0</v>
      </c>
      <c r="B3" s="3330"/>
      <c r="C3" s="3330"/>
      <c r="D3" s="3331"/>
      <c r="E3" s="3378" t="s">
        <v>774</v>
      </c>
      <c r="F3" s="3380" t="s">
        <v>700</v>
      </c>
      <c r="G3" s="3371" t="s">
        <v>773</v>
      </c>
      <c r="H3" s="3373" t="s">
        <v>713</v>
      </c>
      <c r="I3" s="3382" t="s">
        <v>710</v>
      </c>
      <c r="J3" s="3371" t="s">
        <v>711</v>
      </c>
      <c r="K3" s="3373" t="s">
        <v>712</v>
      </c>
      <c r="L3" s="3369" t="s">
        <v>759</v>
      </c>
      <c r="M3" s="3371" t="s">
        <v>760</v>
      </c>
      <c r="N3" s="3373" t="s">
        <v>761</v>
      </c>
      <c r="O3" s="3315" t="s">
        <v>616</v>
      </c>
      <c r="P3" s="3316"/>
      <c r="Q3" s="3315" t="s">
        <v>617</v>
      </c>
      <c r="R3" s="3316"/>
      <c r="S3" s="3315" t="s">
        <v>618</v>
      </c>
      <c r="T3" s="3316"/>
      <c r="U3" s="3375" t="s">
        <v>619</v>
      </c>
      <c r="V3" s="3376"/>
      <c r="W3" s="3377"/>
      <c r="X3" s="3360" t="s">
        <v>620</v>
      </c>
      <c r="Y3" s="3361"/>
      <c r="Z3" s="3360" t="s">
        <v>621</v>
      </c>
      <c r="AA3" s="3361"/>
      <c r="AB3" s="3360" t="s">
        <v>622</v>
      </c>
      <c r="AC3" s="3361"/>
      <c r="AD3" s="3366" t="s">
        <v>623</v>
      </c>
      <c r="AE3" s="3367"/>
      <c r="AF3" s="3368"/>
      <c r="AG3" s="3315" t="s">
        <v>655</v>
      </c>
      <c r="AH3" s="3316"/>
      <c r="AI3" s="3315" t="s">
        <v>656</v>
      </c>
      <c r="AJ3" s="3316"/>
      <c r="AK3" s="3315" t="s">
        <v>657</v>
      </c>
      <c r="AL3" s="3316"/>
      <c r="AM3" s="3375" t="s">
        <v>658</v>
      </c>
      <c r="AN3" s="3376"/>
      <c r="AO3" s="3377"/>
      <c r="AP3" s="3306" t="s">
        <v>659</v>
      </c>
      <c r="AQ3" s="3307"/>
      <c r="AR3" s="3306" t="s">
        <v>660</v>
      </c>
      <c r="AS3" s="3307"/>
      <c r="AT3" s="3306" t="s">
        <v>661</v>
      </c>
      <c r="AU3" s="3307"/>
      <c r="AV3" s="3335" t="s">
        <v>662</v>
      </c>
      <c r="AW3" s="3336"/>
      <c r="AX3" s="3337"/>
      <c r="AY3" s="3338" t="s">
        <v>706</v>
      </c>
      <c r="AZ3" s="3364" t="s">
        <v>783</v>
      </c>
      <c r="BA3" s="1813" t="s">
        <v>28</v>
      </c>
      <c r="BB3" s="1685" t="s">
        <v>28</v>
      </c>
      <c r="BC3" s="3362" t="s">
        <v>784</v>
      </c>
      <c r="BD3" s="3358" t="s">
        <v>785</v>
      </c>
      <c r="BE3" s="3359" t="s">
        <v>786</v>
      </c>
      <c r="BG3" s="406">
        <f>E7+E8+E9+E10+E13+E14+E15</f>
        <v>15841711</v>
      </c>
    </row>
    <row r="4" spans="1:68" ht="55.5" customHeight="1" thickBot="1" x14ac:dyDescent="0.35">
      <c r="A4" s="3332"/>
      <c r="B4" s="3333"/>
      <c r="C4" s="3333"/>
      <c r="D4" s="3334"/>
      <c r="E4" s="3379"/>
      <c r="F4" s="3381"/>
      <c r="G4" s="3372"/>
      <c r="H4" s="3374"/>
      <c r="I4" s="3383"/>
      <c r="J4" s="3372"/>
      <c r="K4" s="3374"/>
      <c r="L4" s="3370"/>
      <c r="M4" s="3372"/>
      <c r="N4" s="3374"/>
      <c r="O4" s="2075" t="s">
        <v>702</v>
      </c>
      <c r="P4" s="2076" t="s">
        <v>703</v>
      </c>
      <c r="Q4" s="2075" t="s">
        <v>702</v>
      </c>
      <c r="R4" s="2076" t="s">
        <v>703</v>
      </c>
      <c r="S4" s="2075" t="s">
        <v>702</v>
      </c>
      <c r="T4" s="2076" t="s">
        <v>703</v>
      </c>
      <c r="U4" s="2077" t="s">
        <v>702</v>
      </c>
      <c r="V4" s="2078" t="s">
        <v>703</v>
      </c>
      <c r="W4" s="2079" t="s">
        <v>516</v>
      </c>
      <c r="X4" s="2075" t="s">
        <v>702</v>
      </c>
      <c r="Y4" s="2080" t="s">
        <v>703</v>
      </c>
      <c r="Z4" s="2075" t="s">
        <v>702</v>
      </c>
      <c r="AA4" s="2080" t="s">
        <v>703</v>
      </c>
      <c r="AB4" s="2075" t="s">
        <v>702</v>
      </c>
      <c r="AC4" s="2080" t="s">
        <v>703</v>
      </c>
      <c r="AD4" s="2077" t="s">
        <v>702</v>
      </c>
      <c r="AE4" s="2078" t="s">
        <v>703</v>
      </c>
      <c r="AF4" s="2079" t="s">
        <v>516</v>
      </c>
      <c r="AG4" s="2081" t="s">
        <v>702</v>
      </c>
      <c r="AH4" s="2076" t="s">
        <v>703</v>
      </c>
      <c r="AI4" s="2081" t="s">
        <v>702</v>
      </c>
      <c r="AJ4" s="2076" t="s">
        <v>703</v>
      </c>
      <c r="AK4" s="2081" t="s">
        <v>702</v>
      </c>
      <c r="AL4" s="2076" t="s">
        <v>703</v>
      </c>
      <c r="AM4" s="2211" t="s">
        <v>702</v>
      </c>
      <c r="AN4" s="2212" t="s">
        <v>703</v>
      </c>
      <c r="AO4" s="2213" t="s">
        <v>516</v>
      </c>
      <c r="AP4" s="1866" t="s">
        <v>702</v>
      </c>
      <c r="AQ4" s="1836" t="s">
        <v>703</v>
      </c>
      <c r="AR4" s="1866" t="s">
        <v>702</v>
      </c>
      <c r="AS4" s="1836" t="s">
        <v>703</v>
      </c>
      <c r="AT4" s="1866" t="s">
        <v>702</v>
      </c>
      <c r="AU4" s="1836" t="s">
        <v>703</v>
      </c>
      <c r="AV4" s="1867" t="s">
        <v>702</v>
      </c>
      <c r="AW4" s="1868" t="s">
        <v>703</v>
      </c>
      <c r="AX4" s="1721" t="s">
        <v>516</v>
      </c>
      <c r="AY4" s="3339"/>
      <c r="AZ4" s="3365"/>
      <c r="BA4" s="1814" t="s">
        <v>779</v>
      </c>
      <c r="BB4" s="1737" t="s">
        <v>780</v>
      </c>
      <c r="BC4" s="3363"/>
      <c r="BD4" s="3358"/>
      <c r="BE4" s="3359"/>
      <c r="BG4" s="406">
        <f>E6-BG3</f>
        <v>205504</v>
      </c>
    </row>
    <row r="5" spans="1:68" ht="29.25" customHeight="1" x14ac:dyDescent="0.35">
      <c r="A5" s="2035" t="s">
        <v>777</v>
      </c>
      <c r="B5" s="2036"/>
      <c r="C5" s="2036"/>
      <c r="D5" s="2037"/>
      <c r="E5" s="2082">
        <v>15369900</v>
      </c>
      <c r="F5" s="2083">
        <f>F2</f>
        <v>7684950</v>
      </c>
      <c r="G5" s="2084"/>
      <c r="H5" s="2085"/>
      <c r="I5" s="2086">
        <f>I2</f>
        <v>3842498</v>
      </c>
      <c r="J5" s="2087"/>
      <c r="K5" s="2085"/>
      <c r="L5" s="2088">
        <f>L2</f>
        <v>3842452</v>
      </c>
      <c r="M5" s="2087"/>
      <c r="N5" s="2085">
        <f>L5-M7-854100</f>
        <v>2904629</v>
      </c>
      <c r="O5" s="2084"/>
      <c r="P5" s="2089"/>
      <c r="Q5" s="2084"/>
      <c r="R5" s="2089"/>
      <c r="S5" s="2084"/>
      <c r="T5" s="2089"/>
      <c r="U5" s="2084"/>
      <c r="V5" s="2084"/>
      <c r="W5" s="2090"/>
      <c r="X5" s="2084"/>
      <c r="Y5" s="2084"/>
      <c r="Z5" s="2084"/>
      <c r="AA5" s="2084"/>
      <c r="AB5" s="2084"/>
      <c r="AC5" s="2084"/>
      <c r="AD5" s="2084"/>
      <c r="AE5" s="2084"/>
      <c r="AF5" s="2090"/>
      <c r="AG5" s="2089"/>
      <c r="AH5" s="2089"/>
      <c r="AI5" s="2089"/>
      <c r="AJ5" s="2089"/>
      <c r="AK5" s="2089"/>
      <c r="AL5" s="2089"/>
      <c r="AM5" s="2089"/>
      <c r="AN5" s="2089"/>
      <c r="AO5" s="2214"/>
      <c r="AP5" s="2038"/>
      <c r="AQ5" s="2038"/>
      <c r="AR5" s="2038"/>
      <c r="AS5" s="2038"/>
      <c r="AT5" s="2038"/>
      <c r="AU5" s="2038"/>
      <c r="AV5" s="2038"/>
      <c r="AW5" s="2038"/>
      <c r="AX5" s="2039"/>
      <c r="AY5" s="2038"/>
      <c r="AZ5" s="2038"/>
      <c r="BA5" s="2038"/>
      <c r="BB5" s="2038"/>
      <c r="BC5" s="2040"/>
      <c r="BD5" s="2045"/>
      <c r="BE5" s="2045"/>
      <c r="BF5" s="2041"/>
      <c r="BG5" s="406"/>
    </row>
    <row r="6" spans="1:68" ht="22.5" customHeight="1" thickBot="1" x14ac:dyDescent="0.4">
      <c r="A6" s="1690" t="s">
        <v>776</v>
      </c>
      <c r="B6" s="1690"/>
      <c r="C6" s="1691"/>
      <c r="D6" s="1692"/>
      <c r="E6" s="2091">
        <f>E7+E8+E9+E10+E11+E13+E14+E15</f>
        <v>16047215</v>
      </c>
      <c r="F6" s="2091">
        <f>F7+F8+F9+F10+F11+F13+F14+F15</f>
        <v>7222584</v>
      </c>
      <c r="G6" s="2092">
        <f t="shared" ref="G6:BB6" si="0">G7+G8+G9+G10+G11+G13+G14+G15</f>
        <v>557700</v>
      </c>
      <c r="H6" s="2093">
        <f>H7+H8+H9+H10+H11+H13+H14+H15</f>
        <v>6664884</v>
      </c>
      <c r="I6" s="2093">
        <f t="shared" si="0"/>
        <v>4074423</v>
      </c>
      <c r="J6" s="2093">
        <f t="shared" si="0"/>
        <v>463503</v>
      </c>
      <c r="K6" s="2093">
        <f>K7+K8+K9+K10+K11+K13+K14+K15</f>
        <v>3610920</v>
      </c>
      <c r="L6" s="2094">
        <f t="shared" si="0"/>
        <v>4750208</v>
      </c>
      <c r="M6" s="2093">
        <f t="shared" si="0"/>
        <v>83723</v>
      </c>
      <c r="N6" s="2093">
        <f>N7+N8+N9+N10+N11+N13+N14+N15</f>
        <v>4666485</v>
      </c>
      <c r="O6" s="2093">
        <f t="shared" si="0"/>
        <v>1037944</v>
      </c>
      <c r="P6" s="2093" t="e">
        <f t="shared" si="0"/>
        <v>#REF!</v>
      </c>
      <c r="Q6" s="2093">
        <f t="shared" si="0"/>
        <v>1066723</v>
      </c>
      <c r="R6" s="2093" t="e">
        <f t="shared" si="0"/>
        <v>#REF!</v>
      </c>
      <c r="S6" s="2093">
        <f t="shared" si="0"/>
        <v>1129090</v>
      </c>
      <c r="T6" s="2093" t="e">
        <f t="shared" si="0"/>
        <v>#REF!</v>
      </c>
      <c r="U6" s="2093">
        <f t="shared" si="0"/>
        <v>3233757</v>
      </c>
      <c r="V6" s="2093" t="e">
        <f t="shared" si="0"/>
        <v>#REF!</v>
      </c>
      <c r="W6" s="2093" t="e">
        <f t="shared" si="0"/>
        <v>#REF!</v>
      </c>
      <c r="X6" s="2095">
        <f t="shared" si="0"/>
        <v>1004397</v>
      </c>
      <c r="Y6" s="2096" t="e">
        <f t="shared" si="0"/>
        <v>#REF!</v>
      </c>
      <c r="Z6" s="2095">
        <f t="shared" si="0"/>
        <v>1091877</v>
      </c>
      <c r="AA6" s="2096" t="e">
        <f t="shared" si="0"/>
        <v>#REF!</v>
      </c>
      <c r="AB6" s="2095">
        <f t="shared" si="0"/>
        <v>1334853</v>
      </c>
      <c r="AC6" s="2096" t="e">
        <f t="shared" si="0"/>
        <v>#REF!</v>
      </c>
      <c r="AD6" s="2097">
        <f t="shared" si="0"/>
        <v>3431127</v>
      </c>
      <c r="AE6" s="2098" t="e">
        <f t="shared" si="0"/>
        <v>#REF!</v>
      </c>
      <c r="AF6" s="2099" t="e">
        <f t="shared" si="0"/>
        <v>#REF!</v>
      </c>
      <c r="AG6" s="2095">
        <f t="shared" si="0"/>
        <v>1232806</v>
      </c>
      <c r="AH6" s="2096" t="e">
        <f t="shared" si="0"/>
        <v>#REF!</v>
      </c>
      <c r="AI6" s="2095">
        <f t="shared" si="0"/>
        <v>1255487</v>
      </c>
      <c r="AJ6" s="2096" t="e">
        <f t="shared" si="0"/>
        <v>#REF!</v>
      </c>
      <c r="AK6" s="2095">
        <f t="shared" si="0"/>
        <v>1122627</v>
      </c>
      <c r="AL6" s="2096" t="e">
        <f t="shared" si="0"/>
        <v>#REF!</v>
      </c>
      <c r="AM6" s="2097">
        <f t="shared" si="0"/>
        <v>3610920</v>
      </c>
      <c r="AN6" s="2098" t="e">
        <f t="shared" si="0"/>
        <v>#REF!</v>
      </c>
      <c r="AO6" s="2099" t="e">
        <f t="shared" si="0"/>
        <v>#REF!</v>
      </c>
      <c r="AP6" s="1715">
        <f t="shared" si="0"/>
        <v>1082227</v>
      </c>
      <c r="AQ6" s="1716" t="e">
        <f t="shared" si="0"/>
        <v>#REF!</v>
      </c>
      <c r="AR6" s="1715">
        <f t="shared" si="0"/>
        <v>1330819</v>
      </c>
      <c r="AS6" s="1716" t="e">
        <f t="shared" si="0"/>
        <v>#REF!</v>
      </c>
      <c r="AT6" s="1715">
        <f t="shared" si="0"/>
        <v>2253439</v>
      </c>
      <c r="AU6" s="1716" t="e">
        <f t="shared" si="0"/>
        <v>#REF!</v>
      </c>
      <c r="AV6" s="1723">
        <f t="shared" si="0"/>
        <v>4666485</v>
      </c>
      <c r="AW6" s="1727" t="e">
        <f t="shared" si="0"/>
        <v>#REF!</v>
      </c>
      <c r="AX6" s="1717" t="e">
        <f t="shared" si="0"/>
        <v>#REF!</v>
      </c>
      <c r="AY6" s="1828" t="e">
        <f t="shared" si="0"/>
        <v>#REF!</v>
      </c>
      <c r="AZ6" s="2029" t="e">
        <f t="shared" si="0"/>
        <v>#REF!</v>
      </c>
      <c r="BA6" s="1723">
        <f t="shared" si="0"/>
        <v>16047215</v>
      </c>
      <c r="BB6" s="1718" t="e">
        <f t="shared" si="0"/>
        <v>#REF!</v>
      </c>
      <c r="BC6" s="1719" t="e">
        <f>BC7+BC8+BC9+BC10+BC11+BC13+BC14+BC15</f>
        <v>#REF!</v>
      </c>
      <c r="BD6" s="2046"/>
      <c r="BE6" s="2046"/>
      <c r="BF6" s="416" t="e">
        <f>BB6-BB7</f>
        <v>#REF!</v>
      </c>
      <c r="BG6" s="406"/>
    </row>
    <row r="7" spans="1:68" ht="19.5" customHeight="1" x14ac:dyDescent="0.35">
      <c r="A7" s="1668"/>
      <c r="B7" s="1669" t="s">
        <v>624</v>
      </c>
      <c r="C7" s="1669"/>
      <c r="D7" s="1669"/>
      <c r="E7" s="1856">
        <f>SUM(F7,I7,L7)</f>
        <v>1104926</v>
      </c>
      <c r="F7" s="2100">
        <v>557700</v>
      </c>
      <c r="G7" s="2101">
        <v>557700</v>
      </c>
      <c r="H7" s="2063"/>
      <c r="I7" s="2102">
        <v>463503</v>
      </c>
      <c r="J7" s="2063">
        <v>463503</v>
      </c>
      <c r="K7" s="2063">
        <f>I7-J7</f>
        <v>0</v>
      </c>
      <c r="L7" s="2103">
        <v>83723</v>
      </c>
      <c r="M7" s="2063">
        <v>83723</v>
      </c>
      <c r="N7" s="2063">
        <f>L7-M7</f>
        <v>0</v>
      </c>
      <c r="O7" s="2104"/>
      <c r="P7" s="2105"/>
      <c r="Q7" s="2104"/>
      <c r="R7" s="2105"/>
      <c r="S7" s="2104"/>
      <c r="T7" s="2105"/>
      <c r="U7" s="2064"/>
      <c r="V7" s="2065">
        <f>SUM(P7+R7+T7)</f>
        <v>0</v>
      </c>
      <c r="W7" s="2066">
        <f>U7-V7</f>
        <v>0</v>
      </c>
      <c r="X7" s="2104"/>
      <c r="Y7" s="2105"/>
      <c r="Z7" s="2104"/>
      <c r="AA7" s="2105"/>
      <c r="AB7" s="2104"/>
      <c r="AC7" s="2105"/>
      <c r="AD7" s="2064">
        <f>SUM(X7+Z7+AB7)</f>
        <v>0</v>
      </c>
      <c r="AE7" s="2065">
        <f>SUM(Y7+AA7+AC7)</f>
        <v>0</v>
      </c>
      <c r="AF7" s="2066">
        <f>AD7-AE7</f>
        <v>0</v>
      </c>
      <c r="AG7" s="2104"/>
      <c r="AH7" s="2105"/>
      <c r="AI7" s="2104"/>
      <c r="AJ7" s="2105"/>
      <c r="AK7" s="2104"/>
      <c r="AL7" s="2105"/>
      <c r="AM7" s="2064">
        <f t="shared" ref="AM7:AN14" si="1">SUM(AG7+AI7+AK7)</f>
        <v>0</v>
      </c>
      <c r="AN7" s="2065">
        <f t="shared" si="1"/>
        <v>0</v>
      </c>
      <c r="AO7" s="2066">
        <f>AM7-AN7</f>
        <v>0</v>
      </c>
      <c r="AP7" s="1710"/>
      <c r="AQ7" s="1711"/>
      <c r="AR7" s="1710"/>
      <c r="AS7" s="1711"/>
      <c r="AT7" s="1710"/>
      <c r="AU7" s="1711"/>
      <c r="AV7" s="1724">
        <f t="shared" ref="AV7:AW14" si="2">SUM(AP7+AR7+AT7)</f>
        <v>0</v>
      </c>
      <c r="AW7" s="1728">
        <f t="shared" si="2"/>
        <v>0</v>
      </c>
      <c r="AX7" s="1712">
        <f>AV7-AW7</f>
        <v>0</v>
      </c>
      <c r="AY7" s="1891">
        <f>H7-V7-AE7</f>
        <v>0</v>
      </c>
      <c r="AZ7" s="2030">
        <f>K7-AN7+AY7</f>
        <v>0</v>
      </c>
      <c r="BA7" s="1724">
        <f>E7+U7+AD7+AM7+AV7</f>
        <v>1104926</v>
      </c>
      <c r="BB7" s="1700">
        <f t="shared" ref="BB7:BB15" si="3">G7+V7+AE7+AN7+AW7+J7+M7</f>
        <v>1104926</v>
      </c>
      <c r="BC7" s="1714">
        <f>E7-G7-V7-AE7-AN7-AW7-J7-M7</f>
        <v>0</v>
      </c>
      <c r="BD7" s="2047">
        <f>BA7-BB7</f>
        <v>0</v>
      </c>
      <c r="BE7" s="2047">
        <f>BC7-BD7</f>
        <v>0</v>
      </c>
      <c r="BG7" s="406"/>
    </row>
    <row r="8" spans="1:68" s="366" customFormat="1" ht="19.5" customHeight="1" x14ac:dyDescent="0.35">
      <c r="A8" s="1678"/>
      <c r="B8" s="2059" t="s">
        <v>663</v>
      </c>
      <c r="C8" s="2059"/>
      <c r="D8" s="2059"/>
      <c r="E8" s="2060">
        <f>F8+I8+L8</f>
        <v>4922135</v>
      </c>
      <c r="F8" s="2061">
        <f>U8+AD8</f>
        <v>2238335</v>
      </c>
      <c r="G8" s="1884"/>
      <c r="H8" s="2062">
        <f>F8-G8</f>
        <v>2238335</v>
      </c>
      <c r="I8" s="1926">
        <f>AM8</f>
        <v>1150200</v>
      </c>
      <c r="J8" s="2062"/>
      <c r="K8" s="2062">
        <f>I8-J8</f>
        <v>1150200</v>
      </c>
      <c r="L8" s="2042">
        <f>AV8</f>
        <v>1533600</v>
      </c>
      <c r="M8" s="2062"/>
      <c r="N8" s="2063">
        <f t="shared" ref="N8:N14" si="4">L8-M8</f>
        <v>1533600</v>
      </c>
      <c r="O8" s="1702">
        <v>372400</v>
      </c>
      <c r="P8" s="1703">
        <f>'[9]2.รายการ คชจ.ส่วนกลาง'!$AX$4+'[9]2.รายการ คชจ.ส่วนกลาง'!$AY$4+'[9]2.รายการ คชจ.ส่วนกลาง'!$AZ$4</f>
        <v>372400</v>
      </c>
      <c r="Q8" s="1702">
        <v>372400</v>
      </c>
      <c r="R8" s="1703">
        <f>'[9]2.รายการ คชจ.ส่วนกลาง'!$AX$5+'[9]2.รายการ คชจ.ส่วนกลาง'!$AY$5+'[9]2.รายการ คชจ.ส่วนกลาง'!$AZ$5</f>
        <v>372400</v>
      </c>
      <c r="S8" s="1702">
        <v>364335</v>
      </c>
      <c r="T8" s="1703">
        <f>'[9]2.รายการ คชจ.ส่วนกลาง'!$AX$6+'[9]2.รายการ คชจ.ส่วนกลาง'!$AY$6+'[9]2.รายการ คชจ.ส่วนกลาง'!$AZ$6</f>
        <v>364335</v>
      </c>
      <c r="U8" s="2064">
        <f>SUM(G8+O8+Q8+S8)</f>
        <v>1109135</v>
      </c>
      <c r="V8" s="2065">
        <f>SUM(P8+R8+T8)</f>
        <v>1109135</v>
      </c>
      <c r="W8" s="2066">
        <f>U8-V8</f>
        <v>0</v>
      </c>
      <c r="X8" s="1702">
        <v>372900</v>
      </c>
      <c r="Y8" s="1703">
        <f>'[9]2.รายการ คชจ.ส่วนกลาง'!$AX$7+'[9]2.รายการ คชจ.ส่วนกลาง'!$AY$7+'[9]2.รายการ คชจ.ส่วนกลาง'!$AZ$7</f>
        <v>372900</v>
      </c>
      <c r="Z8" s="1702">
        <v>372900</v>
      </c>
      <c r="AA8" s="1703">
        <f>'[9]2.รายการ คชจ.ส่วนกลาง'!$AX$8+'[9]2.รายการ คชจ.ส่วนกลาง'!$AY$8+'[9]2.รายการ คชจ.ส่วนกลาง'!$AZ$8</f>
        <v>372900</v>
      </c>
      <c r="AB8" s="1702">
        <v>383400</v>
      </c>
      <c r="AC8" s="1703">
        <f>'[9]2.รายการ คชจ.ส่วนกลาง'!$AX$9+'[9]2.รายการ คชจ.ส่วนกลาง'!$AY$9+'[9]2.รายการ คชจ.ส่วนกลาง'!$AZ$9</f>
        <v>382740</v>
      </c>
      <c r="AD8" s="1726">
        <f>X8+Z8+AB8</f>
        <v>1129200</v>
      </c>
      <c r="AE8" s="1730">
        <f t="shared" ref="AE8:AE63" si="5">SUM(Y8+AA8+AC8)</f>
        <v>1128540</v>
      </c>
      <c r="AF8" s="1697">
        <f t="shared" ref="AF8:AF63" si="6">AD8-AE8</f>
        <v>660</v>
      </c>
      <c r="AG8" s="1702">
        <v>383400</v>
      </c>
      <c r="AH8" s="1703">
        <f>'[9]2.รายการ คชจ.ส่วนกลาง'!$AX$10+'[9]2.รายการ คชจ.ส่วนกลาง'!$AY$10+'[9]2.รายการ คชจ.ส่วนกลาง'!$AZ$10</f>
        <v>367940</v>
      </c>
      <c r="AI8" s="1702">
        <v>383400</v>
      </c>
      <c r="AJ8" s="1703">
        <f>'[9]2.รายการ คชจ.ส่วนกลาง'!$AX$11+'[9]2.รายการ คชจ.ส่วนกลาง'!$AY$11+'[9]2.รายการ คชจ.ส่วนกลาง'!$AZ$11</f>
        <v>382240</v>
      </c>
      <c r="AK8" s="1702">
        <v>383400</v>
      </c>
      <c r="AL8" s="1703">
        <f>'[9]2.รายการ คชจ.ส่วนกลาง'!$AX$12+'[9]2.รายการ คชจ.ส่วนกลาง'!$AY$12+'[9]2.รายการ คชจ.ส่วนกลาง'!$AZ$12</f>
        <v>382240</v>
      </c>
      <c r="AM8" s="1726">
        <f>AG8+AI8+AK8</f>
        <v>1150200</v>
      </c>
      <c r="AN8" s="1730">
        <f t="shared" si="1"/>
        <v>1132420</v>
      </c>
      <c r="AO8" s="1697">
        <f t="shared" ref="AO8:AO63" si="7">AM8-AN8</f>
        <v>17780</v>
      </c>
      <c r="AP8" s="1702">
        <v>383400</v>
      </c>
      <c r="AQ8" s="1703">
        <f>'[9]2.รายการ คชจ.ส่วนกลาง'!$AX$13+'[9]2.รายการ คชจ.ส่วนกลาง'!$AY$13+'[9]2.รายการ คชจ.ส่วนกลาง'!$AZ$13</f>
        <v>372620</v>
      </c>
      <c r="AR8" s="1702">
        <v>383400</v>
      </c>
      <c r="AS8" s="1703">
        <f>'[9]2.รายการ คชจ.ส่วนกลาง'!$AX$14+'[9]2.รายการ คชจ.ส่วนกลาง'!$AY$14+'[9]2.รายการ คชจ.ส่วนกลาง'!$AZ$14</f>
        <v>381619</v>
      </c>
      <c r="AT8" s="1702">
        <f>383400*2</f>
        <v>766800</v>
      </c>
      <c r="AU8" s="1703">
        <f>'[9]2.รายการ คชจ.ส่วนกลาง'!$AX$15+'[9]2.รายการ คชจ.ส่วนกลาง'!$AY$15+'[9]2.รายการ คชจ.ส่วนกลาง'!$AZ$15</f>
        <v>382240</v>
      </c>
      <c r="AV8" s="1726">
        <f>+AP8+AR8+AT8</f>
        <v>1533600</v>
      </c>
      <c r="AW8" s="1730"/>
      <c r="AX8" s="1697">
        <f t="shared" ref="AX8:AX63" si="8">AV8-AW8</f>
        <v>1533600</v>
      </c>
      <c r="AY8" s="2067">
        <f>H8-V8-AE8</f>
        <v>660</v>
      </c>
      <c r="AZ8" s="2068">
        <f t="shared" ref="AZ8:AZ61" si="9">K8-AN8+AY8</f>
        <v>18440</v>
      </c>
      <c r="BA8" s="2064">
        <f t="shared" ref="BA8:BA15" si="10">U8+AD8+AM8+AV8</f>
        <v>4922135</v>
      </c>
      <c r="BB8" s="1705">
        <f t="shared" si="3"/>
        <v>3370095</v>
      </c>
      <c r="BC8" s="2069">
        <f>E8-G8-V8-AE8-AN8-AW8</f>
        <v>1552040</v>
      </c>
      <c r="BD8" s="2047">
        <f>BA8-BB8</f>
        <v>1552040</v>
      </c>
      <c r="BE8" s="2047">
        <f t="shared" ref="BE8:BE63" si="11">BC8-BD8</f>
        <v>0</v>
      </c>
      <c r="BF8" s="395"/>
    </row>
    <row r="9" spans="1:68" s="366" customFormat="1" ht="19.5" customHeight="1" x14ac:dyDescent="0.35">
      <c r="A9" s="1678"/>
      <c r="B9" s="2059" t="s">
        <v>664</v>
      </c>
      <c r="C9" s="2059"/>
      <c r="D9" s="2059"/>
      <c r="E9" s="1856">
        <f t="shared" ref="E9:E14" si="12">F9+I9+L9</f>
        <v>1302391</v>
      </c>
      <c r="F9" s="2061">
        <f t="shared" ref="F9:F14" si="13">U9+AD9</f>
        <v>595972</v>
      </c>
      <c r="G9" s="1884"/>
      <c r="H9" s="2062">
        <f t="shared" ref="H9:H26" si="14">F9-G9</f>
        <v>595972</v>
      </c>
      <c r="I9" s="1926">
        <f t="shared" ref="I9:I14" si="15">AM9</f>
        <v>302751</v>
      </c>
      <c r="J9" s="2062"/>
      <c r="K9" s="2062">
        <f t="shared" ref="K9:K14" si="16">I9-J9</f>
        <v>302751</v>
      </c>
      <c r="L9" s="2042">
        <f t="shared" ref="L9:L14" si="17">AV9</f>
        <v>403668</v>
      </c>
      <c r="M9" s="2062"/>
      <c r="N9" s="2063">
        <f t="shared" si="4"/>
        <v>403668</v>
      </c>
      <c r="O9" s="1702">
        <v>99043</v>
      </c>
      <c r="P9" s="1703">
        <f>'[9]1.รายการผูกพัน (สัญญาทั้งปี)'!$AQ$4+'[9]1.รายการผูกพัน (สัญญาทั้งปี)'!$AR$4+'[9]1.รายการผูกพัน (สัญญาทั้งปี)'!$AS$4</f>
        <v>99043.48</v>
      </c>
      <c r="Q9" s="1702">
        <v>89907</v>
      </c>
      <c r="R9" s="1703">
        <f>'[9]1.รายการผูกพัน (สัญญาทั้งปี)'!$AQ$5+'[9]1.รายการผูกพัน (สัญญาทั้งปี)'!$AR$5+'[9]1.รายการผูกพัน (สัญญาทั้งปี)'!$AS$5</f>
        <v>89906.84</v>
      </c>
      <c r="S9" s="1702">
        <v>102230</v>
      </c>
      <c r="T9" s="1703">
        <f>'[9]1.รายการผูกพัน (สัญญาทั้งปี)'!$AQ$6+'[9]1.รายการผูกพัน (สัญญาทั้งปี)'!$AR$6+'[9]1.รายการผูกพัน (สัญญาทั้งปี)'!$AS$6</f>
        <v>102229.74</v>
      </c>
      <c r="U9" s="1726">
        <f t="shared" ref="U9:U14" si="18">SUM(O9+Q9+S9)</f>
        <v>291180</v>
      </c>
      <c r="V9" s="1730">
        <f t="shared" ref="V9:V63" si="19">SUM(P9+R9+T9)</f>
        <v>291180.06</v>
      </c>
      <c r="W9" s="1697">
        <f t="shared" ref="W9:W64" si="20">U9-V9</f>
        <v>-5.9999999997671694E-2</v>
      </c>
      <c r="X9" s="1702">
        <v>107158</v>
      </c>
      <c r="Y9" s="1703">
        <f>'[9]1.รายการผูกพัน (สัญญาทั้งปี)'!$AQ$7+'[9]1.รายการผูกพัน (สัญญาทั้งปี)'!$AR$7+'[9]1.รายการผูกพัน (สัญญาทั้งปี)'!$AS$7</f>
        <v>107157.58</v>
      </c>
      <c r="Z9" s="1702">
        <v>96717</v>
      </c>
      <c r="AA9" s="1703">
        <f>'[9]1.รายการผูกพัน (สัญญาทั้งปี)'!$AQ$8+'[9]1.รายการผูกพัน (สัญญาทั้งปี)'!$AR$8+'[9]1.รายการผูกพัน (สัญญาทั้งปี)'!$AS$8</f>
        <v>98515.47</v>
      </c>
      <c r="AB9" s="1702">
        <f>96717-13800+18000</f>
        <v>100917</v>
      </c>
      <c r="AC9" s="1703">
        <f>'[9]1.รายการผูกพัน (สัญญาทั้งปี)'!$AQ$9+'[9]1.รายการผูกพัน (สัญญาทั้งปี)'!$AR$9+'[9]1.รายการผูกพัน (สัญญาทั้งปี)'!$AS$9</f>
        <v>99979.03</v>
      </c>
      <c r="AD9" s="1726">
        <f t="shared" ref="AD9:AD63" si="21">SUM(X9+Z9+AB9)</f>
        <v>304792</v>
      </c>
      <c r="AE9" s="1730">
        <f t="shared" si="5"/>
        <v>305652.07999999996</v>
      </c>
      <c r="AF9" s="1697">
        <f t="shared" si="6"/>
        <v>-860.07999999995809</v>
      </c>
      <c r="AG9" s="1702">
        <f>96717-13800+18000</f>
        <v>100917</v>
      </c>
      <c r="AH9" s="1703">
        <f>'[9]1.รายการผูกพัน (สัญญาทั้งปี)'!$AQ$10+'[9]1.รายการผูกพัน (สัญญาทั้งปี)'!$AR$10+'[9]1.รายการผูกพัน (สัญญาทั้งปี)'!$AS$10</f>
        <v>95315.22</v>
      </c>
      <c r="AI9" s="1702">
        <f>96717-13800+18000</f>
        <v>100917</v>
      </c>
      <c r="AJ9" s="1703">
        <f>'[9]1.รายการผูกพัน (สัญญาทั้งปี)'!$AQ$11+'[9]1.รายการผูกพัน (สัญญาทั้งปี)'!$AR$11+'[9]1.รายการผูกพัน (สัญญาทั้งปี)'!$AS$11</f>
        <v>92299.45</v>
      </c>
      <c r="AK9" s="1702">
        <f>96717-13800+18000</f>
        <v>100917</v>
      </c>
      <c r="AL9" s="1703">
        <f>'[9]1.รายการผูกพัน (สัญญาทั้งปี)'!$AQ$12+'[9]1.รายการผูกพัน (สัญญาทั้งปี)'!$AR$12+'[9]1.รายการผูกพัน (สัญญาทั้งปี)'!$AS$12</f>
        <v>96107.62</v>
      </c>
      <c r="AM9" s="1726">
        <f t="shared" si="1"/>
        <v>302751</v>
      </c>
      <c r="AN9" s="1730">
        <f t="shared" si="1"/>
        <v>283722.28999999998</v>
      </c>
      <c r="AO9" s="1697">
        <f t="shared" si="7"/>
        <v>19028.710000000021</v>
      </c>
      <c r="AP9" s="1702">
        <f>96717-13800+18000</f>
        <v>100917</v>
      </c>
      <c r="AQ9" s="1703">
        <f>'[9]1.รายการผูกพัน (สัญญาทั้งปี)'!$AQ$13+'[9]1.รายการผูกพัน (สัญญาทั้งปี)'!$AR$13+'[9]1.รายการผูกพัน (สัญญาทั้งปี)'!$AS$13</f>
        <v>2033</v>
      </c>
      <c r="AR9" s="1702">
        <f>96717-13800+18000</f>
        <v>100917</v>
      </c>
      <c r="AS9" s="1703">
        <f>'[9]1.รายการผูกพัน (สัญญาทั้งปี)'!$AQ$14+'[9]1.รายการผูกพัน (สัญญาทั้งปี)'!$AR$14+'[9]1.รายการผูกพัน (สัญญาทั้งปี)'!$AS$14</f>
        <v>2033</v>
      </c>
      <c r="AT9" s="1702">
        <f>96717-13800+18000+100917</f>
        <v>201834</v>
      </c>
      <c r="AU9" s="1703">
        <f>'[9]1.รายการผูกพัน (สัญญาทั้งปี)'!$AQ$15+'[9]1.รายการผูกพัน (สัญญาทั้งปี)'!$AR$15+'[9]1.รายการผูกพัน (สัญญาทั้งปี)'!$AS$15</f>
        <v>2033</v>
      </c>
      <c r="AV9" s="1726">
        <f t="shared" si="2"/>
        <v>403668</v>
      </c>
      <c r="AW9" s="1730">
        <f t="shared" si="2"/>
        <v>6099</v>
      </c>
      <c r="AX9" s="1697">
        <f t="shared" si="8"/>
        <v>397569</v>
      </c>
      <c r="AY9" s="2067">
        <f t="shared" ref="AY9:AY26" si="22">H9-V9-AE9</f>
        <v>-860.13999999995576</v>
      </c>
      <c r="AZ9" s="2068">
        <f t="shared" si="9"/>
        <v>18168.570000000065</v>
      </c>
      <c r="BA9" s="2064">
        <f t="shared" si="10"/>
        <v>1302391</v>
      </c>
      <c r="BB9" s="1705">
        <f t="shared" si="3"/>
        <v>886653.42999999993</v>
      </c>
      <c r="BC9" s="2069">
        <f t="shared" ref="BC9:BC15" si="23">E9-G9-V9-AE9-AN9-AW9</f>
        <v>415737.57</v>
      </c>
      <c r="BD9" s="2047">
        <f t="shared" ref="BD9:BD14" si="24">BA9-BB9</f>
        <v>415737.57000000007</v>
      </c>
      <c r="BE9" s="2047">
        <f t="shared" si="11"/>
        <v>0</v>
      </c>
      <c r="BF9" s="395"/>
    </row>
    <row r="10" spans="1:68" s="366" customFormat="1" ht="19.5" customHeight="1" x14ac:dyDescent="0.35">
      <c r="A10" s="1678"/>
      <c r="B10" s="2059" t="s">
        <v>625</v>
      </c>
      <c r="C10" s="2059"/>
      <c r="D10" s="2059"/>
      <c r="E10" s="1856">
        <f t="shared" si="12"/>
        <v>5606877</v>
      </c>
      <c r="F10" s="2061">
        <f t="shared" si="13"/>
        <v>2654527</v>
      </c>
      <c r="G10" s="1884"/>
      <c r="H10" s="2062">
        <f t="shared" si="14"/>
        <v>2654527</v>
      </c>
      <c r="I10" s="1926">
        <f t="shared" si="15"/>
        <v>1316175</v>
      </c>
      <c r="J10" s="2062"/>
      <c r="K10" s="2062">
        <f t="shared" si="16"/>
        <v>1316175</v>
      </c>
      <c r="L10" s="2042">
        <f t="shared" si="17"/>
        <v>1636175</v>
      </c>
      <c r="M10" s="2062"/>
      <c r="N10" s="2063">
        <f t="shared" si="4"/>
        <v>1636175</v>
      </c>
      <c r="O10" s="1702">
        <v>459503</v>
      </c>
      <c r="P10" s="1703">
        <f>'[9]3. ค่าสาธารณูปโภค'!$BK$4</f>
        <v>459502.87</v>
      </c>
      <c r="Q10" s="1702">
        <v>451154</v>
      </c>
      <c r="R10" s="1703">
        <f>'[9]3. ค่าสาธารณูปโภค'!$BK$5</f>
        <v>451153.61</v>
      </c>
      <c r="S10" s="1702">
        <v>451695</v>
      </c>
      <c r="T10" s="1703">
        <f>'[9]3. ค่าสาธารณูปโภค'!$BK$6</f>
        <v>451694.55</v>
      </c>
      <c r="U10" s="1726">
        <f t="shared" si="18"/>
        <v>1362352</v>
      </c>
      <c r="V10" s="1730">
        <f>SUM(P10+R10+T10)</f>
        <v>1362351.03</v>
      </c>
      <c r="W10" s="1697">
        <f t="shared" si="20"/>
        <v>0.96999999997206032</v>
      </c>
      <c r="X10" s="1702">
        <v>426725</v>
      </c>
      <c r="Y10" s="1703">
        <f>'[9]3. ค่าสาธารณูปโภค'!$BK$7</f>
        <v>395146.18</v>
      </c>
      <c r="Z10" s="1702">
        <v>426725</v>
      </c>
      <c r="AA10" s="1703">
        <f>'[9]3. ค่าสาธารณูปโภค'!$BK$8</f>
        <v>402572.95999999996</v>
      </c>
      <c r="AB10" s="1702">
        <f>426725+12000</f>
        <v>438725</v>
      </c>
      <c r="AC10" s="1703">
        <f>'[9]3. ค่าสาธารณูปโภค'!$BK$9</f>
        <v>415331.57</v>
      </c>
      <c r="AD10" s="1726">
        <f t="shared" si="21"/>
        <v>1292175</v>
      </c>
      <c r="AE10" s="1730">
        <f t="shared" si="5"/>
        <v>1213050.71</v>
      </c>
      <c r="AF10" s="1697">
        <f t="shared" si="6"/>
        <v>79124.290000000037</v>
      </c>
      <c r="AG10" s="1702">
        <f>426725+12000</f>
        <v>438725</v>
      </c>
      <c r="AH10" s="1703">
        <f>'[9]3. ค่าสาธารณูปโภค'!$BK$10</f>
        <v>423995.04</v>
      </c>
      <c r="AI10" s="1702">
        <f>426725+12000</f>
        <v>438725</v>
      </c>
      <c r="AJ10" s="1703">
        <f>'[9]3. ค่าสาธารณูปโภค'!$BK$11</f>
        <v>436651.07999999996</v>
      </c>
      <c r="AK10" s="1702">
        <f>426725+12000</f>
        <v>438725</v>
      </c>
      <c r="AL10" s="1703">
        <f>'[9]3. ค่าสาธารณูปโภค'!$BK$12</f>
        <v>421525.89999999997</v>
      </c>
      <c r="AM10" s="1726">
        <f t="shared" si="1"/>
        <v>1316175</v>
      </c>
      <c r="AN10" s="1730">
        <f t="shared" si="1"/>
        <v>1282172.0199999998</v>
      </c>
      <c r="AO10" s="1697">
        <f t="shared" si="7"/>
        <v>34002.980000000214</v>
      </c>
      <c r="AP10" s="1702">
        <f>426725+12000</f>
        <v>438725</v>
      </c>
      <c r="AQ10" s="1703">
        <f>'[9]3. ค่าสาธารณูปโภค'!$BK$13</f>
        <v>418905.35</v>
      </c>
      <c r="AR10" s="1702">
        <f>426725+12000</f>
        <v>438725</v>
      </c>
      <c r="AS10" s="1703">
        <f>'[9]3. ค่าสาธารณูปโภค'!$BK$14</f>
        <v>418914.67</v>
      </c>
      <c r="AT10" s="1702">
        <f>426725+12000+320000</f>
        <v>758725</v>
      </c>
      <c r="AU10" s="1703">
        <f>'[9]3. ค่าสาธารณูปโภค'!$BK$15</f>
        <v>331679.31</v>
      </c>
      <c r="AV10" s="1726">
        <f t="shared" si="2"/>
        <v>1636175</v>
      </c>
      <c r="AW10" s="1730">
        <f t="shared" si="2"/>
        <v>1169499.33</v>
      </c>
      <c r="AX10" s="1697">
        <f t="shared" si="8"/>
        <v>466675.66999999993</v>
      </c>
      <c r="AY10" s="2067">
        <f t="shared" si="22"/>
        <v>79125.260000000009</v>
      </c>
      <c r="AZ10" s="2068">
        <f t="shared" si="9"/>
        <v>113128.24000000022</v>
      </c>
      <c r="BA10" s="2064">
        <f t="shared" si="10"/>
        <v>5606877</v>
      </c>
      <c r="BB10" s="1705">
        <f t="shared" si="3"/>
        <v>5027073.09</v>
      </c>
      <c r="BC10" s="2069">
        <f t="shared" si="23"/>
        <v>579803.90999999992</v>
      </c>
      <c r="BD10" s="2047">
        <f t="shared" si="24"/>
        <v>579803.91000000015</v>
      </c>
      <c r="BE10" s="2047">
        <f t="shared" si="11"/>
        <v>0</v>
      </c>
      <c r="BF10" s="395"/>
    </row>
    <row r="11" spans="1:68" s="366" customFormat="1" ht="19.5" customHeight="1" x14ac:dyDescent="0.35">
      <c r="A11" s="1678"/>
      <c r="B11" s="2059" t="s">
        <v>690</v>
      </c>
      <c r="C11" s="2059"/>
      <c r="D11" s="2059"/>
      <c r="E11" s="1856">
        <f t="shared" si="12"/>
        <v>205504</v>
      </c>
      <c r="F11" s="2061">
        <f t="shared" si="13"/>
        <v>105504</v>
      </c>
      <c r="G11" s="1884"/>
      <c r="H11" s="2062">
        <f t="shared" si="14"/>
        <v>105504</v>
      </c>
      <c r="I11" s="1926">
        <f t="shared" si="15"/>
        <v>50000</v>
      </c>
      <c r="J11" s="2062"/>
      <c r="K11" s="2062">
        <f t="shared" si="16"/>
        <v>50000</v>
      </c>
      <c r="L11" s="2042">
        <f t="shared" si="17"/>
        <v>50000</v>
      </c>
      <c r="M11" s="2062"/>
      <c r="N11" s="2063">
        <f t="shared" si="4"/>
        <v>50000</v>
      </c>
      <c r="O11" s="1702">
        <v>0</v>
      </c>
      <c r="P11" s="1703">
        <f>'[10]15ค่าวัสดุคอมฯ'!$I$4</f>
        <v>0</v>
      </c>
      <c r="Q11" s="1702">
        <v>55504</v>
      </c>
      <c r="R11" s="1703">
        <f>'[10]สรุป ผอ.ศสส ผชช. รายเดือน'!$C$5</f>
        <v>55503.7</v>
      </c>
      <c r="S11" s="1702">
        <v>0</v>
      </c>
      <c r="T11" s="1703">
        <f>'[10]สรุป ผอ.ศสส ผชช. รายเดือน'!$C$6</f>
        <v>0</v>
      </c>
      <c r="U11" s="1726">
        <f t="shared" si="18"/>
        <v>55504</v>
      </c>
      <c r="V11" s="1730">
        <f t="shared" si="19"/>
        <v>55503.7</v>
      </c>
      <c r="W11" s="1697">
        <f t="shared" si="20"/>
        <v>0.30000000000291038</v>
      </c>
      <c r="X11" s="1702">
        <v>0</v>
      </c>
      <c r="Y11" s="1703">
        <f>'[10]สรุป ผอ.ศสส ผชช. รายเดือน'!$C$7</f>
        <v>13910</v>
      </c>
      <c r="Z11" s="1702">
        <v>0</v>
      </c>
      <c r="AA11" s="1703">
        <f>'[10]สรุป ผอ.ศสส ผชช. รายเดือน'!$C$8</f>
        <v>0</v>
      </c>
      <c r="AB11" s="1702">
        <v>50000</v>
      </c>
      <c r="AC11" s="1703">
        <f>'[10]สรุป ผอ.ศสส ผชช. รายเดือน'!$C$9</f>
        <v>0</v>
      </c>
      <c r="AD11" s="1726">
        <f t="shared" si="21"/>
        <v>50000</v>
      </c>
      <c r="AE11" s="1730">
        <f t="shared" si="5"/>
        <v>13910</v>
      </c>
      <c r="AF11" s="1697">
        <f t="shared" si="6"/>
        <v>36090</v>
      </c>
      <c r="AG11" s="1702">
        <v>0</v>
      </c>
      <c r="AH11" s="1703">
        <f>'[10]สรุป ผอ.ศสส ผชช. รายเดือน'!$C$10</f>
        <v>65590.17</v>
      </c>
      <c r="AI11" s="1702">
        <v>0</v>
      </c>
      <c r="AJ11" s="1703">
        <f>'[10]สรุป ผอ.ศสส ผชช. รายเดือน'!$C$11</f>
        <v>0</v>
      </c>
      <c r="AK11" s="1702">
        <v>50000</v>
      </c>
      <c r="AL11" s="1703">
        <f>'[10]สรุป ผอ.ศสส ผชช. รายเดือน'!$C$12</f>
        <v>0</v>
      </c>
      <c r="AM11" s="1726">
        <f t="shared" si="1"/>
        <v>50000</v>
      </c>
      <c r="AN11" s="1730">
        <f t="shared" si="1"/>
        <v>65590.17</v>
      </c>
      <c r="AO11" s="1697">
        <f t="shared" si="7"/>
        <v>-15590.169999999998</v>
      </c>
      <c r="AP11" s="1702">
        <v>0</v>
      </c>
      <c r="AQ11" s="1703">
        <f>'[10]สรุป ผอ.ศสส ผชช. รายเดือน'!$C$13</f>
        <v>2930</v>
      </c>
      <c r="AR11" s="1702">
        <v>0</v>
      </c>
      <c r="AS11" s="1703">
        <f>'[10]สรุป ผอ.ศสส ผชช. รายเดือน'!$C$14</f>
        <v>12709.2</v>
      </c>
      <c r="AT11" s="1702">
        <v>50000</v>
      </c>
      <c r="AU11" s="1703">
        <f>'[10]สรุป ผอ.ศสส ผชช. รายเดือน'!$C$15</f>
        <v>53856.800000000003</v>
      </c>
      <c r="AV11" s="1726">
        <f t="shared" si="2"/>
        <v>50000</v>
      </c>
      <c r="AW11" s="1730">
        <f t="shared" si="2"/>
        <v>69496</v>
      </c>
      <c r="AX11" s="1697">
        <f t="shared" si="8"/>
        <v>-19496</v>
      </c>
      <c r="AY11" s="2067">
        <f t="shared" si="22"/>
        <v>36090.300000000003</v>
      </c>
      <c r="AZ11" s="2068">
        <f>K11-AN11+AY11</f>
        <v>20500.130000000005</v>
      </c>
      <c r="BA11" s="2064">
        <f t="shared" si="10"/>
        <v>205504</v>
      </c>
      <c r="BB11" s="1705">
        <f t="shared" si="3"/>
        <v>204499.87</v>
      </c>
      <c r="BC11" s="2069">
        <f t="shared" si="23"/>
        <v>1004.1299999999901</v>
      </c>
      <c r="BD11" s="2047">
        <f t="shared" si="24"/>
        <v>1004.1300000000047</v>
      </c>
      <c r="BE11" s="2047">
        <f t="shared" si="11"/>
        <v>-1.4551915228366852E-11</v>
      </c>
      <c r="BF11" s="395"/>
    </row>
    <row r="12" spans="1:68" s="366" customFormat="1" ht="19.5" hidden="1" customHeight="1" x14ac:dyDescent="0.35">
      <c r="A12" s="1678">
        <v>0</v>
      </c>
      <c r="B12" s="2059" t="s">
        <v>626</v>
      </c>
      <c r="C12" s="2059"/>
      <c r="D12" s="2059"/>
      <c r="E12" s="1856">
        <f t="shared" si="12"/>
        <v>100000</v>
      </c>
      <c r="F12" s="2061">
        <f t="shared" si="13"/>
        <v>50000</v>
      </c>
      <c r="G12" s="1884"/>
      <c r="H12" s="2062">
        <f t="shared" si="14"/>
        <v>50000</v>
      </c>
      <c r="I12" s="1926">
        <f t="shared" si="15"/>
        <v>25000</v>
      </c>
      <c r="J12" s="2062"/>
      <c r="K12" s="2062">
        <f t="shared" si="16"/>
        <v>25000</v>
      </c>
      <c r="L12" s="2042">
        <f t="shared" si="17"/>
        <v>25000</v>
      </c>
      <c r="M12" s="2062"/>
      <c r="N12" s="2063">
        <f t="shared" si="4"/>
        <v>25000</v>
      </c>
      <c r="O12" s="1702">
        <v>0</v>
      </c>
      <c r="P12" s="1703">
        <f>'[10]15ค่าวัสดุคอมฯ'!$I$4</f>
        <v>0</v>
      </c>
      <c r="Q12" s="1702"/>
      <c r="R12" s="1703">
        <f>'[10]15ค่าวัสดุคอมฯ'!$I$5</f>
        <v>32003.7</v>
      </c>
      <c r="S12" s="1702">
        <v>25000</v>
      </c>
      <c r="T12" s="1703">
        <f>'[10]15ค่าวัสดุคอมฯ'!$I$6</f>
        <v>0</v>
      </c>
      <c r="U12" s="1726">
        <f t="shared" si="18"/>
        <v>25000</v>
      </c>
      <c r="V12" s="1730">
        <f t="shared" si="19"/>
        <v>32003.7</v>
      </c>
      <c r="W12" s="1697">
        <f t="shared" si="20"/>
        <v>-7003.7000000000007</v>
      </c>
      <c r="X12" s="1702">
        <v>0</v>
      </c>
      <c r="Y12" s="1703">
        <f>'[10]15ค่าวัสดุคอมฯ'!$I$7</f>
        <v>0</v>
      </c>
      <c r="Z12" s="1702">
        <v>0</v>
      </c>
      <c r="AA12" s="1703">
        <f>'[10]15ค่าวัสดุคอมฯ'!$I$8</f>
        <v>0</v>
      </c>
      <c r="AB12" s="1702">
        <v>25000</v>
      </c>
      <c r="AC12" s="1703">
        <f>'[10]15ค่าวัสดุคอมฯ'!$I$9</f>
        <v>0</v>
      </c>
      <c r="AD12" s="1726">
        <f t="shared" si="21"/>
        <v>25000</v>
      </c>
      <c r="AE12" s="1730">
        <f t="shared" si="5"/>
        <v>0</v>
      </c>
      <c r="AF12" s="1697">
        <f t="shared" si="6"/>
        <v>25000</v>
      </c>
      <c r="AG12" s="1702">
        <v>0</v>
      </c>
      <c r="AH12" s="1703">
        <f>'[10]15ค่าวัสดุคอมฯ'!$I$10</f>
        <v>64788.5</v>
      </c>
      <c r="AI12" s="1702">
        <v>0</v>
      </c>
      <c r="AJ12" s="1703">
        <f>'[10]15ค่าวัสดุคอมฯ'!$I$11</f>
        <v>0</v>
      </c>
      <c r="AK12" s="1702">
        <v>25000</v>
      </c>
      <c r="AL12" s="1703">
        <f>'[10]15ค่าวัสดุคอมฯ'!$I$12</f>
        <v>0</v>
      </c>
      <c r="AM12" s="1726">
        <f>SUM(AG12+AI12+AK12)</f>
        <v>25000</v>
      </c>
      <c r="AN12" s="1730">
        <f t="shared" si="1"/>
        <v>64788.5</v>
      </c>
      <c r="AO12" s="1697">
        <f t="shared" si="7"/>
        <v>-39788.5</v>
      </c>
      <c r="AP12" s="1702">
        <v>0</v>
      </c>
      <c r="AQ12" s="1703">
        <f>'[10]15ค่าวัสดุคอมฯ'!$I$13</f>
        <v>0</v>
      </c>
      <c r="AR12" s="1702">
        <v>0</v>
      </c>
      <c r="AS12" s="1703">
        <f>'[10]15ค่าวัสดุคอมฯ'!$I$14</f>
        <v>12369.2</v>
      </c>
      <c r="AT12" s="1702">
        <v>25000</v>
      </c>
      <c r="AU12" s="1703">
        <f>'[10]15ค่าวัสดุคอมฯ'!$I$15</f>
        <v>48955.8</v>
      </c>
      <c r="AV12" s="1726">
        <f t="shared" si="2"/>
        <v>25000</v>
      </c>
      <c r="AW12" s="1730">
        <f t="shared" si="2"/>
        <v>61325</v>
      </c>
      <c r="AX12" s="1697">
        <f t="shared" si="8"/>
        <v>-36325</v>
      </c>
      <c r="AY12" s="2067">
        <f t="shared" si="22"/>
        <v>17996.3</v>
      </c>
      <c r="AZ12" s="2068">
        <f t="shared" si="9"/>
        <v>-21792.2</v>
      </c>
      <c r="BA12" s="2064">
        <f t="shared" si="10"/>
        <v>100000</v>
      </c>
      <c r="BB12" s="1705">
        <f t="shared" si="3"/>
        <v>158117.20000000001</v>
      </c>
      <c r="BC12" s="2069">
        <f t="shared" si="23"/>
        <v>-58117.2</v>
      </c>
      <c r="BD12" s="2047">
        <f t="shared" si="24"/>
        <v>-58117.200000000012</v>
      </c>
      <c r="BE12" s="2047">
        <f t="shared" si="11"/>
        <v>0</v>
      </c>
      <c r="BF12" s="395"/>
    </row>
    <row r="13" spans="1:68" s="366" customFormat="1" ht="19.5" customHeight="1" x14ac:dyDescent="0.35">
      <c r="A13" s="1678"/>
      <c r="B13" s="2059" t="s">
        <v>648</v>
      </c>
      <c r="C13" s="2059"/>
      <c r="D13" s="2059"/>
      <c r="E13" s="1856">
        <f t="shared" si="12"/>
        <v>100000</v>
      </c>
      <c r="F13" s="2061">
        <f t="shared" si="13"/>
        <v>26200</v>
      </c>
      <c r="G13" s="1884"/>
      <c r="H13" s="2062">
        <f t="shared" si="14"/>
        <v>26200</v>
      </c>
      <c r="I13" s="1926">
        <f t="shared" si="15"/>
        <v>28800</v>
      </c>
      <c r="J13" s="2062"/>
      <c r="K13" s="2062">
        <f t="shared" si="16"/>
        <v>28800</v>
      </c>
      <c r="L13" s="2042">
        <f t="shared" si="17"/>
        <v>45000</v>
      </c>
      <c r="M13" s="2062"/>
      <c r="N13" s="2063">
        <f t="shared" si="4"/>
        <v>45000</v>
      </c>
      <c r="O13" s="1702">
        <v>3000</v>
      </c>
      <c r="P13" s="1703">
        <f>'[9]2.รายการ คชจ.ส่วนกลาง'!$BB$4</f>
        <v>3000</v>
      </c>
      <c r="Q13" s="1702">
        <v>8000</v>
      </c>
      <c r="R13" s="1703">
        <f>'[9]2.รายการ คชจ.ส่วนกลาง'!$BB$5</f>
        <v>8000</v>
      </c>
      <c r="S13" s="1702">
        <v>6900</v>
      </c>
      <c r="T13" s="1703">
        <f>'[9]2.รายการ คชจ.ส่วนกลาง'!$BB$6</f>
        <v>6900</v>
      </c>
      <c r="U13" s="1726">
        <f t="shared" si="18"/>
        <v>17900</v>
      </c>
      <c r="V13" s="1730">
        <f t="shared" si="19"/>
        <v>17900</v>
      </c>
      <c r="W13" s="1697">
        <f t="shared" si="20"/>
        <v>0</v>
      </c>
      <c r="X13" s="1702">
        <v>300</v>
      </c>
      <c r="Y13" s="1703">
        <f>'[9]2.รายการ คชจ.ส่วนกลาง'!$BB$7</f>
        <v>300</v>
      </c>
      <c r="Z13" s="1702">
        <v>3000</v>
      </c>
      <c r="AA13" s="1703">
        <f>'[9]2.รายการ คชจ.ส่วนกลาง'!$BB$8</f>
        <v>3000</v>
      </c>
      <c r="AB13" s="1702">
        <v>5000</v>
      </c>
      <c r="AC13" s="1703">
        <f>'[9]2.รายการ คชจ.ส่วนกลาง'!$BB$9</f>
        <v>2990</v>
      </c>
      <c r="AD13" s="1726">
        <f t="shared" si="21"/>
        <v>8300</v>
      </c>
      <c r="AE13" s="1730">
        <f t="shared" si="5"/>
        <v>6290</v>
      </c>
      <c r="AF13" s="1697">
        <f t="shared" si="6"/>
        <v>2010</v>
      </c>
      <c r="AG13" s="1702">
        <v>5000</v>
      </c>
      <c r="AH13" s="1703">
        <f>'[9]2.รายการ คชจ.ส่วนกลาง'!$BB$10</f>
        <v>1500</v>
      </c>
      <c r="AI13" s="1702">
        <v>8800</v>
      </c>
      <c r="AJ13" s="1703">
        <f>'[9]2.รายการ คชจ.ส่วนกลาง'!$BB$11</f>
        <v>1800</v>
      </c>
      <c r="AK13" s="1702">
        <v>15000</v>
      </c>
      <c r="AL13" s="1703">
        <f>'[9]2.รายการ คชจ.ส่วนกลาง'!$BB$12</f>
        <v>1300</v>
      </c>
      <c r="AM13" s="1726">
        <f>SUM(AG13+AI13+AK13)</f>
        <v>28800</v>
      </c>
      <c r="AN13" s="1730">
        <f t="shared" si="1"/>
        <v>4600</v>
      </c>
      <c r="AO13" s="1697">
        <f t="shared" si="7"/>
        <v>24200</v>
      </c>
      <c r="AP13" s="1702">
        <v>15000</v>
      </c>
      <c r="AQ13" s="1703">
        <f>'[9]2.รายการ คชจ.ส่วนกลาง'!$BB$13</f>
        <v>1800</v>
      </c>
      <c r="AR13" s="1702">
        <v>15000</v>
      </c>
      <c r="AS13" s="1703">
        <f>'[9]2.รายการ คชจ.ส่วนกลาง'!$BB$14</f>
        <v>3340</v>
      </c>
      <c r="AT13" s="1702">
        <v>15000</v>
      </c>
      <c r="AU13" s="1703">
        <f>'[9]2.รายการ คชจ.ส่วนกลาง'!$BB$15</f>
        <v>300</v>
      </c>
      <c r="AV13" s="1726">
        <f t="shared" si="2"/>
        <v>45000</v>
      </c>
      <c r="AW13" s="1730">
        <f t="shared" si="2"/>
        <v>5440</v>
      </c>
      <c r="AX13" s="1697">
        <f t="shared" si="8"/>
        <v>39560</v>
      </c>
      <c r="AY13" s="2067">
        <f t="shared" si="22"/>
        <v>2010</v>
      </c>
      <c r="AZ13" s="2068">
        <f t="shared" si="9"/>
        <v>26210</v>
      </c>
      <c r="BA13" s="2064">
        <f t="shared" si="10"/>
        <v>100000</v>
      </c>
      <c r="BB13" s="1705">
        <f t="shared" si="3"/>
        <v>34230</v>
      </c>
      <c r="BC13" s="2069">
        <f t="shared" si="23"/>
        <v>65770</v>
      </c>
      <c r="BD13" s="2047">
        <f t="shared" si="24"/>
        <v>65770</v>
      </c>
      <c r="BE13" s="2047">
        <f t="shared" si="11"/>
        <v>0</v>
      </c>
      <c r="BF13" s="395"/>
    </row>
    <row r="14" spans="1:68" ht="19.5" customHeight="1" x14ac:dyDescent="0.35">
      <c r="A14" s="1668"/>
      <c r="B14" s="1669" t="s">
        <v>775</v>
      </c>
      <c r="C14" s="1669"/>
      <c r="D14" s="1669"/>
      <c r="E14" s="1856">
        <f t="shared" si="12"/>
        <v>75000</v>
      </c>
      <c r="F14" s="2061">
        <f t="shared" si="13"/>
        <v>37500</v>
      </c>
      <c r="G14" s="1884"/>
      <c r="H14" s="2062">
        <f t="shared" si="14"/>
        <v>37500</v>
      </c>
      <c r="I14" s="1926">
        <f t="shared" si="15"/>
        <v>18750</v>
      </c>
      <c r="J14" s="2062"/>
      <c r="K14" s="2062">
        <f t="shared" si="16"/>
        <v>18750</v>
      </c>
      <c r="L14" s="2042">
        <f t="shared" si="17"/>
        <v>18750</v>
      </c>
      <c r="M14" s="2062"/>
      <c r="N14" s="2063">
        <f t="shared" si="4"/>
        <v>18750</v>
      </c>
      <c r="O14" s="1702">
        <v>6250</v>
      </c>
      <c r="P14" s="1703">
        <f>'[9]2.รายการ คชจ.ส่วนกลาง'!$BA$4+'[9]1.รายการผูกพัน (สัญญาทั้งปี)'!$AT$4</f>
        <v>6600</v>
      </c>
      <c r="Q14" s="1702">
        <v>6250</v>
      </c>
      <c r="R14" s="1703">
        <f>'[9]1.รายการผูกพัน (สัญญาทั้งปี)'!$AT$5+'[9]2.รายการ คชจ.ส่วนกลาง'!$BA$5</f>
        <v>3663</v>
      </c>
      <c r="S14" s="1702">
        <v>6250</v>
      </c>
      <c r="T14" s="1703">
        <f>'[9]2.รายการ คชจ.ส่วนกลาง'!$BA$6+'[9]1.รายการผูกพัน (สัญญาทั้งปี)'!$AT$6</f>
        <v>7227</v>
      </c>
      <c r="U14" s="1726">
        <f t="shared" si="18"/>
        <v>18750</v>
      </c>
      <c r="V14" s="1730">
        <f t="shared" si="19"/>
        <v>17490</v>
      </c>
      <c r="W14" s="1697">
        <f t="shared" si="20"/>
        <v>1260</v>
      </c>
      <c r="X14" s="1702">
        <v>6250</v>
      </c>
      <c r="Y14" s="1703">
        <f>'[9]2.รายการ คชจ.ส่วนกลาง'!$BA$7+'[9]1.รายการผูกพัน (สัญญาทั้งปี)'!$AT$7</f>
        <v>6732</v>
      </c>
      <c r="Z14" s="1702">
        <v>6250</v>
      </c>
      <c r="AA14" s="1703">
        <f>'[9]2.รายการ คชจ.ส่วนกลาง'!$BA$8+'[9]1.รายการผูกพัน (สัญญาทั้งปี)'!$AT$8</f>
        <v>7392</v>
      </c>
      <c r="AB14" s="1702">
        <v>6250</v>
      </c>
      <c r="AC14" s="1703">
        <f>'[9]2.รายการ คชจ.ส่วนกลาง'!$BA$9+'[9]1.รายการผูกพัน (สัญญาทั้งปี)'!$AT$9</f>
        <v>11616</v>
      </c>
      <c r="AD14" s="1726">
        <f t="shared" si="21"/>
        <v>18750</v>
      </c>
      <c r="AE14" s="1730">
        <f t="shared" si="5"/>
        <v>25740</v>
      </c>
      <c r="AF14" s="1697">
        <f t="shared" si="6"/>
        <v>-6990</v>
      </c>
      <c r="AG14" s="1702">
        <v>6250</v>
      </c>
      <c r="AH14" s="1703">
        <f>'[9]2.รายการ คชจ.ส่วนกลาง'!$BA$10+'[9]1.รายการผูกพัน (สัญญาทั้งปี)'!$AT$10</f>
        <v>5280</v>
      </c>
      <c r="AI14" s="1702">
        <v>6250</v>
      </c>
      <c r="AJ14" s="1703">
        <f>'[9]2.รายการ คชจ.ส่วนกลาง'!$BA$11+'[9]1.รายการผูกพัน (สัญญาทั้งปี)'!$AT$11</f>
        <v>6336</v>
      </c>
      <c r="AK14" s="1702">
        <v>6250</v>
      </c>
      <c r="AL14" s="1703">
        <f>'[9]2.รายการ คชจ.ส่วนกลาง'!$BA$12+'[9]1.รายการผูกพัน (สัญญาทั้งปี)'!$AT$12</f>
        <v>8013</v>
      </c>
      <c r="AM14" s="1726">
        <f>SUM(AG14+AI14+AK14)</f>
        <v>18750</v>
      </c>
      <c r="AN14" s="1730">
        <f t="shared" si="1"/>
        <v>19629</v>
      </c>
      <c r="AO14" s="1697">
        <f t="shared" si="7"/>
        <v>-879</v>
      </c>
      <c r="AP14" s="1698">
        <v>6250</v>
      </c>
      <c r="AQ14" s="1699">
        <f>'[9]2.รายการ คชจ.ส่วนกลาง'!$BA$13+'[9]1.รายการผูกพัน (สัญญาทั้งปี)'!$AT$13</f>
        <v>7348</v>
      </c>
      <c r="AR14" s="1698">
        <v>6250</v>
      </c>
      <c r="AS14" s="1699">
        <f>'[9]2.รายการ คชจ.ส่วนกลาง'!$BA$14+'[9]1.รายการผูกพัน (สัญญาทั้งปี)'!$AT$14</f>
        <v>7475</v>
      </c>
      <c r="AT14" s="1698">
        <v>6250</v>
      </c>
      <c r="AU14" s="1699">
        <f>'[9]2.รายการ คชจ.ส่วนกลาง'!$BA$15+'[9]1.รายการผูกพัน (สัญญาทั้งปี)'!$AT$15</f>
        <v>7921</v>
      </c>
      <c r="AV14" s="1725">
        <f t="shared" si="2"/>
        <v>18750</v>
      </c>
      <c r="AW14" s="1729">
        <f t="shared" si="2"/>
        <v>22744</v>
      </c>
      <c r="AX14" s="1696">
        <f t="shared" si="8"/>
        <v>-3994</v>
      </c>
      <c r="AY14" s="1892">
        <f>H14-V14-AE14</f>
        <v>-5730</v>
      </c>
      <c r="AZ14" s="2031">
        <f t="shared" si="9"/>
        <v>-6609</v>
      </c>
      <c r="BA14" s="1724">
        <f t="shared" si="10"/>
        <v>75000</v>
      </c>
      <c r="BB14" s="1700">
        <f t="shared" si="3"/>
        <v>85603</v>
      </c>
      <c r="BC14" s="1714">
        <f t="shared" si="23"/>
        <v>-10603</v>
      </c>
      <c r="BD14" s="2047">
        <f t="shared" si="24"/>
        <v>-10603</v>
      </c>
      <c r="BE14" s="2047">
        <f t="shared" si="11"/>
        <v>0</v>
      </c>
    </row>
    <row r="15" spans="1:68" ht="22.5" customHeight="1" x14ac:dyDescent="0.35">
      <c r="A15" s="1670" t="s">
        <v>778</v>
      </c>
      <c r="B15" s="1671"/>
      <c r="C15" s="1671"/>
      <c r="D15" s="1669"/>
      <c r="E15" s="2106">
        <f>SUM(E16:E25)</f>
        <v>2730382</v>
      </c>
      <c r="F15" s="2106">
        <f>SUM(F16:F25)</f>
        <v>1006846</v>
      </c>
      <c r="G15" s="2106">
        <f>SUM(G16:G25)</f>
        <v>0</v>
      </c>
      <c r="H15" s="2106">
        <f>SUM(H16:H25)</f>
        <v>1006846</v>
      </c>
      <c r="I15" s="2106">
        <f>SUM(I16:I25)</f>
        <v>744244</v>
      </c>
      <c r="J15" s="2107"/>
      <c r="K15" s="2107">
        <f>SUM(K16:K25)</f>
        <v>744244</v>
      </c>
      <c r="L15" s="2108">
        <f>SUM(L16:L25)</f>
        <v>979292</v>
      </c>
      <c r="M15" s="2107"/>
      <c r="N15" s="2107">
        <f>SUM(N16:N25)</f>
        <v>979292</v>
      </c>
      <c r="O15" s="2109">
        <f t="shared" ref="O15:V15" si="25">SUM(O16:O25)</f>
        <v>97748</v>
      </c>
      <c r="P15" s="2110" t="e">
        <f t="shared" si="25"/>
        <v>#REF!</v>
      </c>
      <c r="Q15" s="2109">
        <f t="shared" si="25"/>
        <v>83508</v>
      </c>
      <c r="R15" s="2110" t="e">
        <f t="shared" si="25"/>
        <v>#REF!</v>
      </c>
      <c r="S15" s="2109">
        <f t="shared" si="25"/>
        <v>197680</v>
      </c>
      <c r="T15" s="2110" t="e">
        <f t="shared" si="25"/>
        <v>#REF!</v>
      </c>
      <c r="U15" s="2111">
        <f>SUM(U16:U25)</f>
        <v>378936</v>
      </c>
      <c r="V15" s="2112" t="e">
        <f t="shared" si="25"/>
        <v>#REF!</v>
      </c>
      <c r="W15" s="2113" t="e">
        <f t="shared" si="20"/>
        <v>#REF!</v>
      </c>
      <c r="X15" s="2109">
        <f t="shared" ref="X15:AE15" si="26">SUM(X16:X25)</f>
        <v>91064</v>
      </c>
      <c r="Y15" s="2110" t="e">
        <f t="shared" si="26"/>
        <v>#REF!</v>
      </c>
      <c r="Z15" s="2109">
        <f t="shared" si="26"/>
        <v>186285</v>
      </c>
      <c r="AA15" s="2110" t="e">
        <f t="shared" si="26"/>
        <v>#REF!</v>
      </c>
      <c r="AB15" s="2109">
        <f t="shared" si="26"/>
        <v>350561</v>
      </c>
      <c r="AC15" s="2110" t="e">
        <f t="shared" si="26"/>
        <v>#REF!</v>
      </c>
      <c r="AD15" s="2111">
        <f t="shared" si="26"/>
        <v>627910</v>
      </c>
      <c r="AE15" s="2112" t="e">
        <f t="shared" si="26"/>
        <v>#REF!</v>
      </c>
      <c r="AF15" s="2113" t="e">
        <f t="shared" si="6"/>
        <v>#REF!</v>
      </c>
      <c r="AG15" s="2109">
        <f t="shared" ref="AG15:AN15" si="27">SUM(AG16:AG25)</f>
        <v>298514</v>
      </c>
      <c r="AH15" s="2110" t="e">
        <f t="shared" si="27"/>
        <v>#REF!</v>
      </c>
      <c r="AI15" s="2109">
        <f t="shared" si="27"/>
        <v>317395</v>
      </c>
      <c r="AJ15" s="2110" t="e">
        <f t="shared" si="27"/>
        <v>#REF!</v>
      </c>
      <c r="AK15" s="2109">
        <f t="shared" si="27"/>
        <v>128335</v>
      </c>
      <c r="AL15" s="2110" t="e">
        <f t="shared" si="27"/>
        <v>#REF!</v>
      </c>
      <c r="AM15" s="2111">
        <f t="shared" si="27"/>
        <v>744244</v>
      </c>
      <c r="AN15" s="2112" t="e">
        <f t="shared" si="27"/>
        <v>#REF!</v>
      </c>
      <c r="AO15" s="2113" t="e">
        <f t="shared" si="7"/>
        <v>#REF!</v>
      </c>
      <c r="AP15" s="1772">
        <f t="shared" ref="AP15:AW15" si="28">SUM(AP16:AP25)</f>
        <v>137935</v>
      </c>
      <c r="AQ15" s="1773" t="e">
        <f t="shared" si="28"/>
        <v>#REF!</v>
      </c>
      <c r="AR15" s="1772">
        <f t="shared" si="28"/>
        <v>386527</v>
      </c>
      <c r="AS15" s="1773" t="e">
        <f t="shared" si="28"/>
        <v>#REF!</v>
      </c>
      <c r="AT15" s="1772">
        <f t="shared" si="28"/>
        <v>454830</v>
      </c>
      <c r="AU15" s="1773" t="e">
        <f t="shared" si="28"/>
        <v>#REF!</v>
      </c>
      <c r="AV15" s="1767">
        <f t="shared" si="28"/>
        <v>979292</v>
      </c>
      <c r="AW15" s="1768" t="e">
        <f t="shared" si="28"/>
        <v>#REF!</v>
      </c>
      <c r="AX15" s="1769" t="e">
        <f t="shared" si="8"/>
        <v>#REF!</v>
      </c>
      <c r="AY15" s="1890" t="e">
        <f t="shared" si="22"/>
        <v>#REF!</v>
      </c>
      <c r="AZ15" s="2034" t="e">
        <f t="shared" si="9"/>
        <v>#REF!</v>
      </c>
      <c r="BA15" s="1767">
        <f t="shared" si="10"/>
        <v>2730382</v>
      </c>
      <c r="BB15" s="1770" t="e">
        <f t="shared" si="3"/>
        <v>#REF!</v>
      </c>
      <c r="BC15" s="1771" t="e">
        <f t="shared" si="23"/>
        <v>#REF!</v>
      </c>
      <c r="BD15" s="2047" t="e">
        <f>BA15-BB15</f>
        <v>#REF!</v>
      </c>
      <c r="BE15" s="2047" t="e">
        <f t="shared" si="11"/>
        <v>#REF!</v>
      </c>
      <c r="BF15" s="473">
        <f>BA15-E15</f>
        <v>0</v>
      </c>
      <c r="BG15" s="2004" t="s">
        <v>749</v>
      </c>
      <c r="BH15" s="1998" t="s">
        <v>751</v>
      </c>
      <c r="BI15" s="383" t="s">
        <v>750</v>
      </c>
      <c r="BJ15" s="2010" t="s">
        <v>754</v>
      </c>
      <c r="BK15" s="2001" t="s">
        <v>752</v>
      </c>
      <c r="BL15" s="2007" t="s">
        <v>753</v>
      </c>
      <c r="BM15" s="385" t="s">
        <v>757</v>
      </c>
      <c r="BN15" s="2011" t="s">
        <v>756</v>
      </c>
      <c r="BO15" s="555" t="s">
        <v>755</v>
      </c>
      <c r="BP15" s="366" t="s">
        <v>758</v>
      </c>
    </row>
    <row r="16" spans="1:68" ht="20.25" customHeight="1" x14ac:dyDescent="0.35">
      <c r="A16" s="1676"/>
      <c r="B16" s="1672" t="s">
        <v>6</v>
      </c>
      <c r="C16" s="1673"/>
      <c r="D16" s="1673"/>
      <c r="E16" s="1856">
        <f t="shared" ref="E16:E24" si="29">F16+I16+L16</f>
        <v>700985</v>
      </c>
      <c r="F16" s="2114">
        <f>U16+AD16</f>
        <v>126882</v>
      </c>
      <c r="G16" s="2101"/>
      <c r="H16" s="2115">
        <f>F16-G16</f>
        <v>126882</v>
      </c>
      <c r="I16" s="1926">
        <f t="shared" ref="I16:I25" si="30">AM16</f>
        <v>91529</v>
      </c>
      <c r="J16" s="2115"/>
      <c r="K16" s="2115">
        <f>I16-J16</f>
        <v>91529</v>
      </c>
      <c r="L16" s="2116">
        <f>AV16</f>
        <v>482574</v>
      </c>
      <c r="M16" s="2115"/>
      <c r="N16" s="2115">
        <f>L16-M16</f>
        <v>482574</v>
      </c>
      <c r="O16" s="2104">
        <v>2295</v>
      </c>
      <c r="P16" s="2105">
        <f>'[11] สรุป ฝบท. รายเดือน'!$C$4</f>
        <v>2295</v>
      </c>
      <c r="Q16" s="2104">
        <v>35304</v>
      </c>
      <c r="R16" s="2105">
        <f>'[11] สรุป ฝบท. รายเดือน'!$C$5</f>
        <v>35304.089999999997</v>
      </c>
      <c r="S16" s="2104">
        <v>45097</v>
      </c>
      <c r="T16" s="2105">
        <f>'[11] สรุป ฝบท. รายเดือน'!$C$6</f>
        <v>45097.440000000002</v>
      </c>
      <c r="U16" s="2064">
        <f>O16+Q16+S16</f>
        <v>82696</v>
      </c>
      <c r="V16" s="2065">
        <f>SUM(P16+R16+T16)</f>
        <v>82696.53</v>
      </c>
      <c r="W16" s="2066">
        <f t="shared" si="20"/>
        <v>-0.52999999999883585</v>
      </c>
      <c r="X16" s="2104">
        <v>3880</v>
      </c>
      <c r="Y16" s="2105">
        <f>'[11] สรุป ฝบท. รายเดือน'!$C$7</f>
        <v>3880</v>
      </c>
      <c r="Z16" s="2104">
        <v>26550</v>
      </c>
      <c r="AA16" s="2105">
        <f>'[11] สรุป ฝบท. รายเดือน'!$C$8</f>
        <v>26550.2</v>
      </c>
      <c r="AB16" s="2104">
        <v>13756</v>
      </c>
      <c r="AC16" s="2105">
        <f>'[11] สรุป ฝบท. รายเดือน'!$C$9</f>
        <v>13756.29</v>
      </c>
      <c r="AD16" s="2064">
        <f>SUM(X16+Z16+AB16)</f>
        <v>44186</v>
      </c>
      <c r="AE16" s="2065">
        <f t="shared" si="5"/>
        <v>44186.490000000005</v>
      </c>
      <c r="AF16" s="2066">
        <f t="shared" si="6"/>
        <v>-0.49000000000523869</v>
      </c>
      <c r="AG16" s="2104">
        <v>77021</v>
      </c>
      <c r="AH16" s="2105">
        <f>'[11] สรุป ฝบท. รายเดือน'!$C$10</f>
        <v>77020.649999999994</v>
      </c>
      <c r="AI16" s="2104">
        <v>14508</v>
      </c>
      <c r="AJ16" s="2105">
        <f>'[11] สรุป ฝบท. รายเดือน'!$C$11</f>
        <v>14507.5</v>
      </c>
      <c r="AK16" s="2104"/>
      <c r="AL16" s="2105">
        <f>'[11] สรุป ฝบท. รายเดือน'!$C$12</f>
        <v>40480.49</v>
      </c>
      <c r="AM16" s="2064">
        <f>SUM(AG16+AI16+AK16)</f>
        <v>91529</v>
      </c>
      <c r="AN16" s="2065">
        <f t="shared" ref="AN16:AN63" si="31">SUM(AH16+AJ16+AL16)</f>
        <v>132008.63999999998</v>
      </c>
      <c r="AO16" s="2066">
        <f t="shared" si="7"/>
        <v>-40479.639999999985</v>
      </c>
      <c r="AP16" s="2104">
        <v>30000</v>
      </c>
      <c r="AQ16" s="2105">
        <f>'[11] สรุป ฝบท. รายเดือน'!$C$13</f>
        <v>22526.33</v>
      </c>
      <c r="AR16" s="2057">
        <f>40000+35584+22500</f>
        <v>98084</v>
      </c>
      <c r="AS16" s="2058">
        <f>'[11] สรุป ฝบท. รายเดือน'!$C$14</f>
        <v>94566.53</v>
      </c>
      <c r="AT16" s="2057">
        <f>40000-33000+347490</f>
        <v>354490</v>
      </c>
      <c r="AU16" s="2058">
        <f>'[11] สรุป ฝบท. รายเดือน'!$C$15</f>
        <v>416257.7</v>
      </c>
      <c r="AV16" s="2064">
        <f>SUM(AP16+AR16+AT16)</f>
        <v>482574</v>
      </c>
      <c r="AW16" s="2065">
        <f t="shared" ref="AW16:AW63" si="32">SUM(AQ16+AS16+AU16)</f>
        <v>533350.56000000006</v>
      </c>
      <c r="AX16" s="2066">
        <f t="shared" si="8"/>
        <v>-50776.560000000056</v>
      </c>
      <c r="AY16" s="2129">
        <f t="shared" si="22"/>
        <v>-1.0200000000040745</v>
      </c>
      <c r="AZ16" s="2068">
        <f>K16-AN16+AY16</f>
        <v>-40480.659999999989</v>
      </c>
      <c r="BA16" s="2064">
        <f t="shared" ref="BA16:BA25" si="33">G16+U16+AD16+AM16+AV16+J16+M16</f>
        <v>700985</v>
      </c>
      <c r="BB16" s="2220">
        <f>G16+V16+AE16+AN16+AW16+J16</f>
        <v>792242.22</v>
      </c>
      <c r="BC16" s="2069">
        <f>E16-BB16</f>
        <v>-91257.219999999972</v>
      </c>
      <c r="BD16" s="2219">
        <f>BA16-BB16</f>
        <v>-91257.219999999972</v>
      </c>
      <c r="BE16" s="2047">
        <f t="shared" si="11"/>
        <v>0</v>
      </c>
      <c r="BF16" s="1993"/>
      <c r="BG16" s="2005">
        <f t="shared" ref="BG16:BG25" si="34">AB16+AG16+AI16+AK16+AP16+AR16+AT16</f>
        <v>587859</v>
      </c>
      <c r="BH16" s="1999">
        <f t="shared" ref="BH16:BH25" si="35">O16+Q16+S16+X16+Z16</f>
        <v>113126</v>
      </c>
      <c r="BI16" s="1995">
        <f t="shared" ref="BI16:BI26" si="36">BG16+BH16</f>
        <v>700985</v>
      </c>
      <c r="BJ16" s="827">
        <f t="shared" ref="BJ16:BJ25" si="37">E16-BA16</f>
        <v>0</v>
      </c>
      <c r="BK16" s="2002">
        <f t="shared" ref="BK16:BK25" si="38">P16+R16+T16+Y16+AA16</f>
        <v>113126.73</v>
      </c>
      <c r="BL16" s="2008">
        <f t="shared" ref="BL16:BL25" si="39">AC16+AH16+AJ16+AL16+AQ16+AS16+AU16</f>
        <v>679115.49</v>
      </c>
      <c r="BM16" s="1992">
        <f>BK16+BL16</f>
        <v>792242.22</v>
      </c>
      <c r="BN16" s="2012">
        <f>BH16-BK16</f>
        <v>-0.72999999999592546</v>
      </c>
      <c r="BO16" s="1995">
        <f t="shared" ref="BO16:BO26" si="40">BG16-BL16</f>
        <v>-91256.489999999991</v>
      </c>
      <c r="BP16" s="1992">
        <f>BI16-BK16-BL16</f>
        <v>-91257.219999999972</v>
      </c>
    </row>
    <row r="17" spans="1:77" ht="20.25" customHeight="1" x14ac:dyDescent="0.35">
      <c r="A17" s="1676"/>
      <c r="B17" s="1674" t="s">
        <v>2</v>
      </c>
      <c r="C17" s="1675"/>
      <c r="D17" s="1675"/>
      <c r="E17" s="1856">
        <f t="shared" si="29"/>
        <v>63575</v>
      </c>
      <c r="F17" s="2061">
        <f>U17+AD17</f>
        <v>55680</v>
      </c>
      <c r="G17" s="1884"/>
      <c r="H17" s="2062">
        <f t="shared" si="14"/>
        <v>55680</v>
      </c>
      <c r="I17" s="1926">
        <f t="shared" si="30"/>
        <v>6695</v>
      </c>
      <c r="J17" s="2062"/>
      <c r="K17" s="2115">
        <f t="shared" ref="K17:K25" si="41">I17-J17</f>
        <v>6695</v>
      </c>
      <c r="L17" s="2116">
        <f t="shared" ref="L17:L25" si="42">AV17</f>
        <v>1200</v>
      </c>
      <c r="M17" s="2062"/>
      <c r="N17" s="2115">
        <f t="shared" ref="N17:N25" si="43">L17-M17</f>
        <v>1200</v>
      </c>
      <c r="O17" s="1702">
        <v>1450</v>
      </c>
      <c r="P17" s="1703" t="e">
        <f>#REF!</f>
        <v>#REF!</v>
      </c>
      <c r="Q17" s="1702">
        <v>0</v>
      </c>
      <c r="R17" s="1703" t="e">
        <f>#REF!</f>
        <v>#REF!</v>
      </c>
      <c r="S17" s="1702">
        <v>22140</v>
      </c>
      <c r="T17" s="1703" t="e">
        <f>#REF!</f>
        <v>#REF!</v>
      </c>
      <c r="U17" s="1726">
        <f t="shared" ref="U17:U25" si="44">SUM(O17+Q17+S17)</f>
        <v>23590</v>
      </c>
      <c r="V17" s="1730" t="e">
        <f t="shared" si="19"/>
        <v>#REF!</v>
      </c>
      <c r="W17" s="1697" t="e">
        <f t="shared" si="20"/>
        <v>#REF!</v>
      </c>
      <c r="X17" s="1702">
        <v>1290</v>
      </c>
      <c r="Y17" s="1703" t="e">
        <f>#REF!</f>
        <v>#REF!</v>
      </c>
      <c r="Z17" s="1702">
        <v>0</v>
      </c>
      <c r="AA17" s="1703" t="e">
        <f>#REF!</f>
        <v>#REF!</v>
      </c>
      <c r="AB17" s="1702">
        <v>30800</v>
      </c>
      <c r="AC17" s="1703" t="e">
        <f>#REF!</f>
        <v>#REF!</v>
      </c>
      <c r="AD17" s="2064">
        <f t="shared" ref="AD17:AD25" si="45">SUM(X17+Z17+AB17)</f>
        <v>32090</v>
      </c>
      <c r="AE17" s="1730" t="e">
        <f t="shared" si="5"/>
        <v>#REF!</v>
      </c>
      <c r="AF17" s="1697" t="e">
        <f t="shared" si="6"/>
        <v>#REF!</v>
      </c>
      <c r="AG17" s="1702">
        <v>961</v>
      </c>
      <c r="AH17" s="1703" t="e">
        <f>#REF!</f>
        <v>#REF!</v>
      </c>
      <c r="AI17" s="1702">
        <v>5134</v>
      </c>
      <c r="AJ17" s="1703" t="e">
        <f>#REF!</f>
        <v>#REF!</v>
      </c>
      <c r="AK17" s="1702">
        <v>600</v>
      </c>
      <c r="AL17" s="1703" t="e">
        <f>#REF!</f>
        <v>#REF!</v>
      </c>
      <c r="AM17" s="2064">
        <f t="shared" ref="AM17:AM25" si="46">SUM(AG17+AI17+AK17)</f>
        <v>6695</v>
      </c>
      <c r="AN17" s="1730" t="e">
        <f t="shared" si="31"/>
        <v>#REF!</v>
      </c>
      <c r="AO17" s="1697" t="e">
        <f t="shared" si="7"/>
        <v>#REF!</v>
      </c>
      <c r="AP17" s="1702">
        <v>600</v>
      </c>
      <c r="AQ17" s="1703" t="e">
        <f>#REF!</f>
        <v>#REF!</v>
      </c>
      <c r="AR17" s="1702">
        <v>600</v>
      </c>
      <c r="AS17" s="1703" t="e">
        <f>#REF!</f>
        <v>#REF!</v>
      </c>
      <c r="AT17" s="1702">
        <f>[20]สพร.!$M$157</f>
        <v>0</v>
      </c>
      <c r="AU17" s="1703" t="e">
        <f>#REF!</f>
        <v>#REF!</v>
      </c>
      <c r="AV17" s="2064">
        <f t="shared" ref="AV17:AV25" si="47">SUM(AP17+AR17+AT17)</f>
        <v>1200</v>
      </c>
      <c r="AW17" s="1730" t="e">
        <f t="shared" si="32"/>
        <v>#REF!</v>
      </c>
      <c r="AX17" s="1697" t="e">
        <f t="shared" si="8"/>
        <v>#REF!</v>
      </c>
      <c r="AY17" s="1830" t="e">
        <f t="shared" si="22"/>
        <v>#REF!</v>
      </c>
      <c r="AZ17" s="2068" t="e">
        <f t="shared" si="9"/>
        <v>#REF!</v>
      </c>
      <c r="BA17" s="2064">
        <f t="shared" si="33"/>
        <v>63575</v>
      </c>
      <c r="BB17" s="1705" t="e">
        <f>G17+V17+AE17+AN17+AW17+J17</f>
        <v>#REF!</v>
      </c>
      <c r="BC17" s="1704" t="e">
        <f t="shared" ref="BC17:BC25" si="48">E17-BB17</f>
        <v>#REF!</v>
      </c>
      <c r="BD17" s="2219" t="e">
        <f t="shared" ref="BD17:BD24" si="49">BA17-BB17</f>
        <v>#REF!</v>
      </c>
      <c r="BE17" s="2047" t="e">
        <f t="shared" si="11"/>
        <v>#REF!</v>
      </c>
      <c r="BF17" s="473"/>
      <c r="BG17" s="2005">
        <f t="shared" si="34"/>
        <v>38695</v>
      </c>
      <c r="BH17" s="1999">
        <f t="shared" si="35"/>
        <v>24880</v>
      </c>
      <c r="BI17" s="1995">
        <f t="shared" si="36"/>
        <v>63575</v>
      </c>
      <c r="BJ17" s="827">
        <f t="shared" si="37"/>
        <v>0</v>
      </c>
      <c r="BK17" s="2002" t="e">
        <f t="shared" si="38"/>
        <v>#REF!</v>
      </c>
      <c r="BL17" s="2008" t="e">
        <f t="shared" si="39"/>
        <v>#REF!</v>
      </c>
      <c r="BM17" s="1992" t="e">
        <f t="shared" ref="BM17:BM25" si="50">BK17+BL17</f>
        <v>#REF!</v>
      </c>
      <c r="BN17" s="2012" t="e">
        <f t="shared" ref="BN17:BN26" si="51">BH17-BK17</f>
        <v>#REF!</v>
      </c>
      <c r="BO17" s="1995" t="e">
        <f t="shared" si="40"/>
        <v>#REF!</v>
      </c>
      <c r="BP17" s="1992" t="e">
        <f t="shared" ref="BP17:BP25" si="52">BI17-BK17-BL17</f>
        <v>#REF!</v>
      </c>
    </row>
    <row r="18" spans="1:77" ht="20.25" customHeight="1" x14ac:dyDescent="0.35">
      <c r="A18" s="1676"/>
      <c r="B18" s="1674" t="s">
        <v>1</v>
      </c>
      <c r="C18" s="1675"/>
      <c r="D18" s="1675"/>
      <c r="E18" s="1856">
        <f t="shared" si="29"/>
        <v>31489</v>
      </c>
      <c r="F18" s="2061">
        <f>U18+AD18</f>
        <v>7045</v>
      </c>
      <c r="G18" s="1884"/>
      <c r="H18" s="2062">
        <f>F18-G18</f>
        <v>7045</v>
      </c>
      <c r="I18" s="1926">
        <f t="shared" si="30"/>
        <v>24444</v>
      </c>
      <c r="J18" s="2062"/>
      <c r="K18" s="2115">
        <f t="shared" si="41"/>
        <v>24444</v>
      </c>
      <c r="L18" s="2116">
        <f t="shared" si="42"/>
        <v>0</v>
      </c>
      <c r="M18" s="2062"/>
      <c r="N18" s="2115">
        <f t="shared" si="43"/>
        <v>0</v>
      </c>
      <c r="O18" s="1702">
        <v>3210</v>
      </c>
      <c r="P18" s="1703" t="e">
        <f>#REF!</f>
        <v>#REF!</v>
      </c>
      <c r="Q18" s="1702">
        <v>0</v>
      </c>
      <c r="R18" s="1703" t="e">
        <f>#REF!</f>
        <v>#REF!</v>
      </c>
      <c r="S18" s="1702">
        <v>630</v>
      </c>
      <c r="T18" s="1703" t="e">
        <f>#REF!</f>
        <v>#REF!</v>
      </c>
      <c r="U18" s="1726">
        <f t="shared" si="44"/>
        <v>3840</v>
      </c>
      <c r="V18" s="1730" t="e">
        <f t="shared" si="19"/>
        <v>#REF!</v>
      </c>
      <c r="W18" s="1697" t="e">
        <f t="shared" si="20"/>
        <v>#REF!</v>
      </c>
      <c r="X18" s="1702">
        <v>0</v>
      </c>
      <c r="Y18" s="1703" t="e">
        <f>#REF!</f>
        <v>#REF!</v>
      </c>
      <c r="Z18" s="1702">
        <v>315</v>
      </c>
      <c r="AA18" s="1703" t="e">
        <f>#REF!</f>
        <v>#REF!</v>
      </c>
      <c r="AB18" s="1702">
        <v>2890</v>
      </c>
      <c r="AC18" s="1703" t="e">
        <f>#REF!</f>
        <v>#REF!</v>
      </c>
      <c r="AD18" s="2064">
        <f t="shared" si="45"/>
        <v>3205</v>
      </c>
      <c r="AE18" s="1730" t="e">
        <f t="shared" si="5"/>
        <v>#REF!</v>
      </c>
      <c r="AF18" s="1697" t="e">
        <f t="shared" si="6"/>
        <v>#REF!</v>
      </c>
      <c r="AG18" s="1702">
        <v>961</v>
      </c>
      <c r="AH18" s="1703" t="e">
        <f>#REF!</f>
        <v>#REF!</v>
      </c>
      <c r="AI18" s="1702">
        <v>19098</v>
      </c>
      <c r="AJ18" s="1703">
        <v>19098</v>
      </c>
      <c r="AK18" s="1702">
        <v>4385</v>
      </c>
      <c r="AL18" s="1703" t="e">
        <f>#REF!</f>
        <v>#REF!</v>
      </c>
      <c r="AM18" s="2064">
        <f t="shared" si="46"/>
        <v>24444</v>
      </c>
      <c r="AN18" s="1730" t="e">
        <f t="shared" si="31"/>
        <v>#REF!</v>
      </c>
      <c r="AO18" s="1697" t="e">
        <f t="shared" si="7"/>
        <v>#REF!</v>
      </c>
      <c r="AP18" s="1702">
        <v>0</v>
      </c>
      <c r="AQ18" s="1703" t="e">
        <f>#REF!</f>
        <v>#REF!</v>
      </c>
      <c r="AR18" s="1702">
        <v>0</v>
      </c>
      <c r="AS18" s="1703" t="e">
        <f>#REF!</f>
        <v>#REF!</v>
      </c>
      <c r="AT18" s="1702">
        <v>0</v>
      </c>
      <c r="AU18" s="1703" t="e">
        <f>#REF!</f>
        <v>#REF!</v>
      </c>
      <c r="AV18" s="2064">
        <f t="shared" si="47"/>
        <v>0</v>
      </c>
      <c r="AW18" s="1730" t="e">
        <f t="shared" si="32"/>
        <v>#REF!</v>
      </c>
      <c r="AX18" s="1697" t="e">
        <f t="shared" si="8"/>
        <v>#REF!</v>
      </c>
      <c r="AY18" s="1830" t="e">
        <f>H18-V18-AE18</f>
        <v>#REF!</v>
      </c>
      <c r="AZ18" s="2068" t="e">
        <f t="shared" si="9"/>
        <v>#REF!</v>
      </c>
      <c r="BA18" s="2064">
        <f t="shared" si="33"/>
        <v>31489</v>
      </c>
      <c r="BB18" s="1705" t="e">
        <f t="shared" ref="BB18:BB45" si="53">G18+V18+AE18+AN18+AW18</f>
        <v>#REF!</v>
      </c>
      <c r="BC18" s="1704" t="e">
        <f t="shared" si="48"/>
        <v>#REF!</v>
      </c>
      <c r="BD18" s="2219" t="e">
        <f t="shared" si="49"/>
        <v>#REF!</v>
      </c>
      <c r="BE18" s="2047" t="e">
        <f t="shared" si="11"/>
        <v>#REF!</v>
      </c>
      <c r="BF18" s="472"/>
      <c r="BG18" s="2005">
        <f t="shared" si="34"/>
        <v>27334</v>
      </c>
      <c r="BH18" s="1999">
        <f t="shared" si="35"/>
        <v>4155</v>
      </c>
      <c r="BI18" s="1995">
        <f t="shared" si="36"/>
        <v>31489</v>
      </c>
      <c r="BJ18" s="827">
        <f t="shared" si="37"/>
        <v>0</v>
      </c>
      <c r="BK18" s="2002" t="e">
        <f t="shared" si="38"/>
        <v>#REF!</v>
      </c>
      <c r="BL18" s="2008" t="e">
        <f t="shared" si="39"/>
        <v>#REF!</v>
      </c>
      <c r="BM18" s="1992" t="e">
        <f t="shared" si="50"/>
        <v>#REF!</v>
      </c>
      <c r="BN18" s="2012" t="e">
        <f t="shared" si="51"/>
        <v>#REF!</v>
      </c>
      <c r="BO18" s="1995" t="e">
        <f t="shared" si="40"/>
        <v>#REF!</v>
      </c>
      <c r="BP18" s="1992" t="e">
        <f t="shared" si="52"/>
        <v>#REF!</v>
      </c>
    </row>
    <row r="19" spans="1:77" ht="20.25" customHeight="1" x14ac:dyDescent="0.35">
      <c r="A19" s="1676"/>
      <c r="B19" s="1674" t="s">
        <v>3</v>
      </c>
      <c r="C19" s="1675"/>
      <c r="D19" s="1675"/>
      <c r="E19" s="1856">
        <f t="shared" si="29"/>
        <v>29433</v>
      </c>
      <c r="F19" s="2061">
        <f t="shared" ref="F19:F25" si="54">U19+AD19</f>
        <v>8355</v>
      </c>
      <c r="G19" s="1884"/>
      <c r="H19" s="2062">
        <f t="shared" si="14"/>
        <v>8355</v>
      </c>
      <c r="I19" s="1926">
        <f t="shared" si="30"/>
        <v>20078</v>
      </c>
      <c r="J19" s="2062"/>
      <c r="K19" s="2115">
        <f t="shared" si="41"/>
        <v>20078</v>
      </c>
      <c r="L19" s="2116">
        <f t="shared" si="42"/>
        <v>1000</v>
      </c>
      <c r="M19" s="2062"/>
      <c r="N19" s="2115">
        <f t="shared" si="43"/>
        <v>1000</v>
      </c>
      <c r="O19" s="1702">
        <v>0</v>
      </c>
      <c r="P19" s="1703">
        <f>'[12]สรุป สสป. รายเดือน'!$C$4</f>
        <v>0</v>
      </c>
      <c r="Q19" s="1702">
        <v>1530</v>
      </c>
      <c r="R19" s="1703">
        <f>'[12]สรุป สสป. รายเดือน'!$C$5</f>
        <v>1530</v>
      </c>
      <c r="S19" s="1702">
        <v>6055</v>
      </c>
      <c r="T19" s="1703">
        <f>'[12]สรุป สสป. รายเดือน'!$C$6</f>
        <v>6054.8</v>
      </c>
      <c r="U19" s="1726">
        <f t="shared" si="44"/>
        <v>7585</v>
      </c>
      <c r="V19" s="1730">
        <f>SUM(P19+R19+T19)</f>
        <v>7584.8</v>
      </c>
      <c r="W19" s="1697">
        <f t="shared" si="20"/>
        <v>0.1999999999998181</v>
      </c>
      <c r="X19" s="1702">
        <v>0</v>
      </c>
      <c r="Y19" s="1703">
        <f>'[12]สรุป สสป. รายเดือน'!$C$7</f>
        <v>0</v>
      </c>
      <c r="Z19" s="1702">
        <v>0</v>
      </c>
      <c r="AA19" s="1703">
        <f>'[12]สรุป สสป. รายเดือน'!$C$8</f>
        <v>0</v>
      </c>
      <c r="AB19" s="1702">
        <v>770</v>
      </c>
      <c r="AC19" s="1703">
        <f>'[12]สรุป สสป. รายเดือน'!$C$9</f>
        <v>770</v>
      </c>
      <c r="AD19" s="2064">
        <f t="shared" si="45"/>
        <v>770</v>
      </c>
      <c r="AE19" s="1730">
        <f t="shared" si="5"/>
        <v>770</v>
      </c>
      <c r="AF19" s="1697">
        <f t="shared" si="6"/>
        <v>0</v>
      </c>
      <c r="AG19" s="1702">
        <v>480</v>
      </c>
      <c r="AH19" s="1703">
        <f>'[12]สรุป สสป. รายเดือน'!$C$10</f>
        <v>480.43</v>
      </c>
      <c r="AI19" s="1702">
        <v>19098</v>
      </c>
      <c r="AJ19" s="1703">
        <f>'[12]สรุป สสป. รายเดือน'!$C$11</f>
        <v>19098.43</v>
      </c>
      <c r="AK19" s="1702">
        <v>500</v>
      </c>
      <c r="AL19" s="1703">
        <f>'[12]สรุป สสป. รายเดือน'!$C$12</f>
        <v>900.43000000000006</v>
      </c>
      <c r="AM19" s="2064">
        <f t="shared" si="46"/>
        <v>20078</v>
      </c>
      <c r="AN19" s="1730">
        <f t="shared" si="31"/>
        <v>20479.29</v>
      </c>
      <c r="AO19" s="1697">
        <f t="shared" si="7"/>
        <v>-401.29000000000087</v>
      </c>
      <c r="AP19" s="1702">
        <v>500</v>
      </c>
      <c r="AQ19" s="1703">
        <f>'[12]สรุป สสป. รายเดือน'!$C$13</f>
        <v>480.43</v>
      </c>
      <c r="AR19" s="1702">
        <v>500</v>
      </c>
      <c r="AS19" s="1703">
        <f>'[12]สรุป สสป. รายเดือน'!$C$14</f>
        <v>480.43</v>
      </c>
      <c r="AT19" s="1702">
        <v>0</v>
      </c>
      <c r="AU19" s="1703">
        <f>'[12]สรุป สสป. รายเดือน'!$C$15</f>
        <v>480.43</v>
      </c>
      <c r="AV19" s="2064">
        <f t="shared" si="47"/>
        <v>1000</v>
      </c>
      <c r="AW19" s="1730">
        <f t="shared" si="32"/>
        <v>1441.29</v>
      </c>
      <c r="AX19" s="1697">
        <f t="shared" si="8"/>
        <v>-441.28999999999996</v>
      </c>
      <c r="AY19" s="1830">
        <f t="shared" si="22"/>
        <v>0.1999999999998181</v>
      </c>
      <c r="AZ19" s="2068">
        <f t="shared" si="9"/>
        <v>-401.09000000000106</v>
      </c>
      <c r="BA19" s="2064">
        <f t="shared" si="33"/>
        <v>29433</v>
      </c>
      <c r="BB19" s="1705">
        <f t="shared" si="53"/>
        <v>30275.38</v>
      </c>
      <c r="BC19" s="1704">
        <f t="shared" si="48"/>
        <v>-842.38000000000102</v>
      </c>
      <c r="BD19" s="2219">
        <f t="shared" si="49"/>
        <v>-842.38000000000102</v>
      </c>
      <c r="BE19" s="2047">
        <f t="shared" si="11"/>
        <v>0</v>
      </c>
      <c r="BF19" s="473"/>
      <c r="BG19" s="2005">
        <f t="shared" si="34"/>
        <v>21848</v>
      </c>
      <c r="BH19" s="1999">
        <f t="shared" si="35"/>
        <v>7585</v>
      </c>
      <c r="BI19" s="1995">
        <f t="shared" si="36"/>
        <v>29433</v>
      </c>
      <c r="BJ19" s="827">
        <f t="shared" si="37"/>
        <v>0</v>
      </c>
      <c r="BK19" s="2002">
        <f t="shared" si="38"/>
        <v>7584.8</v>
      </c>
      <c r="BL19" s="2008">
        <f t="shared" si="39"/>
        <v>22690.58</v>
      </c>
      <c r="BM19" s="1992">
        <f t="shared" si="50"/>
        <v>30275.38</v>
      </c>
      <c r="BN19" s="2012">
        <f t="shared" si="51"/>
        <v>0.1999999999998181</v>
      </c>
      <c r="BO19" s="1995">
        <f t="shared" si="40"/>
        <v>-842.58000000000175</v>
      </c>
      <c r="BP19" s="1992">
        <f t="shared" si="52"/>
        <v>-842.38000000000102</v>
      </c>
    </row>
    <row r="20" spans="1:77" s="366" customFormat="1" ht="20.25" customHeight="1" x14ac:dyDescent="0.35">
      <c r="A20" s="1676"/>
      <c r="B20" s="1674" t="s">
        <v>24</v>
      </c>
      <c r="C20" s="1675"/>
      <c r="D20" s="1675"/>
      <c r="E20" s="1856">
        <f t="shared" si="29"/>
        <v>436519</v>
      </c>
      <c r="F20" s="2061">
        <f t="shared" si="54"/>
        <v>57641</v>
      </c>
      <c r="G20" s="1884"/>
      <c r="H20" s="2062">
        <f t="shared" si="14"/>
        <v>57641</v>
      </c>
      <c r="I20" s="1926">
        <f t="shared" si="30"/>
        <v>220898</v>
      </c>
      <c r="J20" s="2062"/>
      <c r="K20" s="2115">
        <f t="shared" si="41"/>
        <v>220898</v>
      </c>
      <c r="L20" s="2116">
        <f t="shared" si="42"/>
        <v>157980</v>
      </c>
      <c r="M20" s="2062"/>
      <c r="N20" s="2115">
        <f t="shared" si="43"/>
        <v>157980</v>
      </c>
      <c r="O20" s="1702">
        <v>5100</v>
      </c>
      <c r="P20" s="1703">
        <f>'[13]สรุป สภท. รายเดือน'!$C$4</f>
        <v>5100</v>
      </c>
      <c r="Q20" s="1702">
        <v>1520</v>
      </c>
      <c r="R20" s="1703">
        <f>'[13]สรุป สภท. รายเดือน'!$C$5</f>
        <v>1520</v>
      </c>
      <c r="S20" s="1702">
        <v>19700</v>
      </c>
      <c r="T20" s="1703">
        <f>'[13]สรุป สภท. รายเดือน'!$C$6</f>
        <v>19700</v>
      </c>
      <c r="U20" s="1726">
        <f t="shared" si="44"/>
        <v>26320</v>
      </c>
      <c r="V20" s="1730">
        <f>SUM(P20+R20+T20)</f>
        <v>26320</v>
      </c>
      <c r="W20" s="1697">
        <f t="shared" si="20"/>
        <v>0</v>
      </c>
      <c r="X20" s="1702">
        <v>2700</v>
      </c>
      <c r="Y20" s="1703">
        <f>'[13]สรุป สภท. รายเดือน'!$C$7</f>
        <v>2700</v>
      </c>
      <c r="Z20" s="1702">
        <v>0</v>
      </c>
      <c r="AA20" s="1703">
        <f>'[13]สรุป สภท. รายเดือน'!$C$8</f>
        <v>0</v>
      </c>
      <c r="AB20" s="1702">
        <v>28621</v>
      </c>
      <c r="AC20" s="1703">
        <f>'[13]สรุป สภท. รายเดือน'!$C$9</f>
        <v>28620.799999999999</v>
      </c>
      <c r="AD20" s="2064">
        <f t="shared" si="45"/>
        <v>31321</v>
      </c>
      <c r="AE20" s="1730">
        <f t="shared" si="5"/>
        <v>31320.799999999999</v>
      </c>
      <c r="AF20" s="1697">
        <f t="shared" si="6"/>
        <v>0.2000000000007276</v>
      </c>
      <c r="AG20" s="1702">
        <v>143918</v>
      </c>
      <c r="AH20" s="1703">
        <f>'[13]สรุป สภท. รายเดือน'!$C$10</f>
        <v>143918</v>
      </c>
      <c r="AI20" s="1702">
        <v>41980</v>
      </c>
      <c r="AJ20" s="1703">
        <f>'[13]สรุป สภท. รายเดือน'!$C$11</f>
        <v>41980</v>
      </c>
      <c r="AK20" s="1702">
        <v>35000</v>
      </c>
      <c r="AL20" s="1703">
        <f>'[13]สรุป สภท. รายเดือน'!$C$12</f>
        <v>36525</v>
      </c>
      <c r="AM20" s="2064">
        <f t="shared" si="46"/>
        <v>220898</v>
      </c>
      <c r="AN20" s="1730">
        <f t="shared" si="31"/>
        <v>222423</v>
      </c>
      <c r="AO20" s="1697">
        <f t="shared" si="7"/>
        <v>-1525</v>
      </c>
      <c r="AP20" s="1702">
        <v>38980</v>
      </c>
      <c r="AQ20" s="1703">
        <f>'[13]สรุป สภท. รายเดือน'!$C$13</f>
        <v>5992</v>
      </c>
      <c r="AR20" s="1702">
        <f>9500+50000</f>
        <v>59500</v>
      </c>
      <c r="AS20" s="1703">
        <f>'[13]สรุป สภท. รายเดือน'!$C$14</f>
        <v>960</v>
      </c>
      <c r="AT20" s="1702">
        <v>59500</v>
      </c>
      <c r="AU20" s="1703">
        <f>'[13]สรุป สภท. รายเดือน'!$C$15</f>
        <v>58710</v>
      </c>
      <c r="AV20" s="2064">
        <f t="shared" si="47"/>
        <v>157980</v>
      </c>
      <c r="AW20" s="1730">
        <f t="shared" si="32"/>
        <v>65662</v>
      </c>
      <c r="AX20" s="1697">
        <f t="shared" si="8"/>
        <v>92318</v>
      </c>
      <c r="AY20" s="1830">
        <f t="shared" si="22"/>
        <v>0.2000000000007276</v>
      </c>
      <c r="AZ20" s="2068">
        <f t="shared" si="9"/>
        <v>-1524.7999999999993</v>
      </c>
      <c r="BA20" s="2064">
        <f t="shared" si="33"/>
        <v>436519</v>
      </c>
      <c r="BB20" s="1705">
        <f t="shared" si="53"/>
        <v>345725.8</v>
      </c>
      <c r="BC20" s="1704">
        <f t="shared" si="48"/>
        <v>90793.200000000012</v>
      </c>
      <c r="BD20" s="2219">
        <f t="shared" si="49"/>
        <v>90793.200000000012</v>
      </c>
      <c r="BE20" s="2047">
        <f t="shared" si="11"/>
        <v>0</v>
      </c>
      <c r="BF20" s="472"/>
      <c r="BG20" s="2005">
        <f t="shared" si="34"/>
        <v>407499</v>
      </c>
      <c r="BH20" s="1999">
        <f t="shared" si="35"/>
        <v>29020</v>
      </c>
      <c r="BI20" s="1995">
        <f t="shared" si="36"/>
        <v>436519</v>
      </c>
      <c r="BJ20" s="827">
        <f t="shared" si="37"/>
        <v>0</v>
      </c>
      <c r="BK20" s="2002">
        <f t="shared" si="38"/>
        <v>29020</v>
      </c>
      <c r="BL20" s="2008">
        <f t="shared" si="39"/>
        <v>316705.8</v>
      </c>
      <c r="BM20" s="1992">
        <f t="shared" si="50"/>
        <v>345725.8</v>
      </c>
      <c r="BN20" s="2012">
        <f t="shared" si="51"/>
        <v>0</v>
      </c>
      <c r="BO20" s="1995">
        <f t="shared" si="40"/>
        <v>90793.200000000012</v>
      </c>
      <c r="BP20" s="1992">
        <f t="shared" si="52"/>
        <v>90793.200000000012</v>
      </c>
    </row>
    <row r="21" spans="1:77" s="366" customFormat="1" ht="20.25" customHeight="1" x14ac:dyDescent="0.35">
      <c r="A21" s="1676"/>
      <c r="B21" s="1674" t="s">
        <v>23</v>
      </c>
      <c r="C21" s="1675"/>
      <c r="D21" s="1675"/>
      <c r="E21" s="1856">
        <f t="shared" si="29"/>
        <v>513444</v>
      </c>
      <c r="F21" s="2061">
        <f t="shared" si="54"/>
        <v>247886</v>
      </c>
      <c r="G21" s="1884"/>
      <c r="H21" s="2062">
        <f t="shared" si="14"/>
        <v>247886</v>
      </c>
      <c r="I21" s="1926">
        <f t="shared" si="30"/>
        <v>101125</v>
      </c>
      <c r="J21" s="2062"/>
      <c r="K21" s="2115">
        <f t="shared" si="41"/>
        <v>101125</v>
      </c>
      <c r="L21" s="2116">
        <f t="shared" si="42"/>
        <v>164433</v>
      </c>
      <c r="M21" s="2062"/>
      <c r="N21" s="2115">
        <f t="shared" si="43"/>
        <v>164433</v>
      </c>
      <c r="O21" s="1702">
        <v>53100</v>
      </c>
      <c r="P21" s="1703">
        <f>'[14]สรุป สทส. รายเดือน'!$C$4</f>
        <v>53100</v>
      </c>
      <c r="Q21" s="1702">
        <v>21310</v>
      </c>
      <c r="R21" s="1703">
        <f>'[14]สรุป สทส. รายเดือน'!$C$5</f>
        <v>21310</v>
      </c>
      <c r="S21" s="1702">
        <v>48000</v>
      </c>
      <c r="T21" s="1703">
        <f>'[14]สรุป สทส. รายเดือน'!$C$6</f>
        <v>48000</v>
      </c>
      <c r="U21" s="1726">
        <f t="shared" si="44"/>
        <v>122410</v>
      </c>
      <c r="V21" s="1730">
        <f>SUM(P21+R21+T21)</f>
        <v>122410</v>
      </c>
      <c r="W21" s="1697">
        <f t="shared" si="20"/>
        <v>0</v>
      </c>
      <c r="X21" s="1702">
        <v>39096</v>
      </c>
      <c r="Y21" s="1703">
        <f>'[14]สรุป สทส. รายเดือน'!$C$7</f>
        <v>39095.5</v>
      </c>
      <c r="Z21" s="1702">
        <v>72870</v>
      </c>
      <c r="AA21" s="1703">
        <f>'[14]สรุป สทส. รายเดือน'!$C$8</f>
        <v>72870</v>
      </c>
      <c r="AB21" s="1702">
        <v>13510</v>
      </c>
      <c r="AC21" s="1703">
        <f>'[14]สรุป สทส. รายเดือน'!$C$9</f>
        <v>13510</v>
      </c>
      <c r="AD21" s="2064">
        <f t="shared" si="45"/>
        <v>125476</v>
      </c>
      <c r="AE21" s="1730">
        <f t="shared" si="5"/>
        <v>125475.5</v>
      </c>
      <c r="AF21" s="1697">
        <f t="shared" si="6"/>
        <v>0.5</v>
      </c>
      <c r="AG21" s="1702">
        <v>29900</v>
      </c>
      <c r="AH21" s="1703">
        <f>'[14]สรุป สทส. รายเดือน'!$C$10</f>
        <v>29900</v>
      </c>
      <c r="AI21" s="1702">
        <v>47685</v>
      </c>
      <c r="AJ21" s="1703">
        <f>'[14]สรุป สทส. รายเดือน'!$C$11</f>
        <v>47685.2</v>
      </c>
      <c r="AK21" s="1702">
        <v>23540</v>
      </c>
      <c r="AL21" s="1703">
        <f>'[14]สรุป สทส. รายเดือน'!$C$12</f>
        <v>48740</v>
      </c>
      <c r="AM21" s="2064">
        <f t="shared" si="46"/>
        <v>101125</v>
      </c>
      <c r="AN21" s="1730">
        <f t="shared" si="31"/>
        <v>126325.2</v>
      </c>
      <c r="AO21" s="1697">
        <f t="shared" si="7"/>
        <v>-25200.199999999997</v>
      </c>
      <c r="AP21" s="1702">
        <v>56105</v>
      </c>
      <c r="AQ21" s="1703">
        <f>'[14]สรุป สทส. รายเดือน'!$C$13</f>
        <v>44640</v>
      </c>
      <c r="AR21" s="1702">
        <f>47075+40763</f>
        <v>87838</v>
      </c>
      <c r="AS21" s="1703">
        <f>'[14]สรุป สทส. รายเดือน'!$C$14</f>
        <v>16200</v>
      </c>
      <c r="AT21" s="1702">
        <f>34225-13735</f>
        <v>20490</v>
      </c>
      <c r="AU21" s="1703">
        <f>'[14]สรุป สทส. รายเดือน'!$C$15</f>
        <v>66656.800000000003</v>
      </c>
      <c r="AV21" s="2064">
        <f t="shared" si="47"/>
        <v>164433</v>
      </c>
      <c r="AW21" s="1730">
        <f t="shared" si="32"/>
        <v>127496.8</v>
      </c>
      <c r="AX21" s="1697">
        <f t="shared" si="8"/>
        <v>36936.199999999997</v>
      </c>
      <c r="AY21" s="1830">
        <f t="shared" si="22"/>
        <v>0.5</v>
      </c>
      <c r="AZ21" s="2068">
        <f t="shared" si="9"/>
        <v>-25199.699999999997</v>
      </c>
      <c r="BA21" s="2064">
        <f t="shared" si="33"/>
        <v>513444</v>
      </c>
      <c r="BB21" s="1705">
        <f t="shared" si="53"/>
        <v>501707.5</v>
      </c>
      <c r="BC21" s="1704">
        <f t="shared" si="48"/>
        <v>11736.5</v>
      </c>
      <c r="BD21" s="2219">
        <f t="shared" si="49"/>
        <v>11736.5</v>
      </c>
      <c r="BE21" s="2047">
        <f t="shared" si="11"/>
        <v>0</v>
      </c>
      <c r="BF21" s="472"/>
      <c r="BG21" s="2005">
        <f t="shared" si="34"/>
        <v>279068</v>
      </c>
      <c r="BH21" s="1999">
        <f t="shared" si="35"/>
        <v>234376</v>
      </c>
      <c r="BI21" s="1995">
        <f t="shared" si="36"/>
        <v>513444</v>
      </c>
      <c r="BJ21" s="827">
        <f t="shared" si="37"/>
        <v>0</v>
      </c>
      <c r="BK21" s="2002">
        <f t="shared" si="38"/>
        <v>234375.5</v>
      </c>
      <c r="BL21" s="2008">
        <f t="shared" si="39"/>
        <v>267332</v>
      </c>
      <c r="BM21" s="1992">
        <f t="shared" si="50"/>
        <v>501707.5</v>
      </c>
      <c r="BN21" s="2012">
        <f t="shared" si="51"/>
        <v>0.5</v>
      </c>
      <c r="BO21" s="1995">
        <f t="shared" si="40"/>
        <v>11736</v>
      </c>
      <c r="BP21" s="1992">
        <f t="shared" si="52"/>
        <v>11736.5</v>
      </c>
    </row>
    <row r="22" spans="1:77" s="366" customFormat="1" ht="20.25" customHeight="1" x14ac:dyDescent="0.35">
      <c r="A22" s="1676"/>
      <c r="B22" s="1674" t="s">
        <v>4</v>
      </c>
      <c r="C22" s="1675"/>
      <c r="D22" s="1675"/>
      <c r="E22" s="1856">
        <f t="shared" si="29"/>
        <v>97315</v>
      </c>
      <c r="F22" s="2061">
        <f t="shared" si="54"/>
        <v>27155</v>
      </c>
      <c r="G22" s="1884"/>
      <c r="H22" s="2062">
        <f t="shared" si="14"/>
        <v>27155</v>
      </c>
      <c r="I22" s="1926">
        <f t="shared" si="30"/>
        <v>42560</v>
      </c>
      <c r="J22" s="2062"/>
      <c r="K22" s="2115">
        <f t="shared" si="41"/>
        <v>42560</v>
      </c>
      <c r="L22" s="2116">
        <f t="shared" si="42"/>
        <v>27600</v>
      </c>
      <c r="M22" s="2062"/>
      <c r="N22" s="2115">
        <f t="shared" si="43"/>
        <v>27600</v>
      </c>
      <c r="O22" s="1702">
        <v>0</v>
      </c>
      <c r="P22" s="1703">
        <f>'[15]สรุป สกก.รายเดือน'!$C$4</f>
        <v>0</v>
      </c>
      <c r="Q22" s="1702">
        <v>560</v>
      </c>
      <c r="R22" s="1703">
        <f>'[15]สรุป สกก.รายเดือน'!$C$5</f>
        <v>560</v>
      </c>
      <c r="S22" s="1702">
        <v>500</v>
      </c>
      <c r="T22" s="1703">
        <f>'[15]สรุป สกก.รายเดือน'!$C$6</f>
        <v>500</v>
      </c>
      <c r="U22" s="1726">
        <f t="shared" si="44"/>
        <v>1060</v>
      </c>
      <c r="V22" s="1730">
        <f t="shared" si="19"/>
        <v>1060</v>
      </c>
      <c r="W22" s="1697">
        <f t="shared" si="20"/>
        <v>0</v>
      </c>
      <c r="X22" s="1702">
        <v>0</v>
      </c>
      <c r="Y22" s="1703">
        <f>'[15]สรุป สกก.รายเดือน'!$C$7</f>
        <v>0</v>
      </c>
      <c r="Z22" s="1702">
        <v>25500</v>
      </c>
      <c r="AA22" s="1703">
        <f>'[15]สรุป สกก.รายเดือน'!$C$8</f>
        <v>25500</v>
      </c>
      <c r="AB22" s="1702">
        <v>595</v>
      </c>
      <c r="AC22" s="1703">
        <f>'[15]สรุป สกก.รายเดือน'!$C$9</f>
        <v>595</v>
      </c>
      <c r="AD22" s="2064">
        <f t="shared" si="45"/>
        <v>26095</v>
      </c>
      <c r="AE22" s="1730">
        <f t="shared" si="5"/>
        <v>26095</v>
      </c>
      <c r="AF22" s="1697">
        <f t="shared" si="6"/>
        <v>0</v>
      </c>
      <c r="AG22" s="1702">
        <v>1926</v>
      </c>
      <c r="AH22" s="1703">
        <f>'[15]สรุป สกก.รายเดือน'!$C$10</f>
        <v>1926</v>
      </c>
      <c r="AI22" s="1702">
        <v>34874</v>
      </c>
      <c r="AJ22" s="1703">
        <f>'[15]สรุป สกก.รายเดือน'!$C$11</f>
        <v>34874</v>
      </c>
      <c r="AK22" s="1702">
        <v>5760</v>
      </c>
      <c r="AL22" s="1703">
        <f>'[15]สรุป สกก.รายเดือน'!$C$12</f>
        <v>0</v>
      </c>
      <c r="AM22" s="2064">
        <f t="shared" si="46"/>
        <v>42560</v>
      </c>
      <c r="AN22" s="1730">
        <f t="shared" si="31"/>
        <v>36800</v>
      </c>
      <c r="AO22" s="1697">
        <f t="shared" si="7"/>
        <v>5760</v>
      </c>
      <c r="AP22" s="1702">
        <f>[20]สกก!$K$157</f>
        <v>0</v>
      </c>
      <c r="AQ22" s="1703">
        <f>'[15]สรุป สกก.รายเดือน'!$C$13</f>
        <v>4805</v>
      </c>
      <c r="AR22" s="1702">
        <f>9600+15000</f>
        <v>24600</v>
      </c>
      <c r="AS22" s="1703">
        <f>'[15]สรุป สกก.รายเดือน'!$C$14</f>
        <v>19795</v>
      </c>
      <c r="AT22" s="1702">
        <v>3000</v>
      </c>
      <c r="AU22" s="1703">
        <f>'[15]สรุป สกก.รายเดือน'!$C$15</f>
        <v>9600</v>
      </c>
      <c r="AV22" s="2064">
        <f t="shared" si="47"/>
        <v>27600</v>
      </c>
      <c r="AW22" s="1730">
        <f t="shared" si="32"/>
        <v>34200</v>
      </c>
      <c r="AX22" s="1697">
        <f t="shared" si="8"/>
        <v>-6600</v>
      </c>
      <c r="AY22" s="1830">
        <f t="shared" si="22"/>
        <v>0</v>
      </c>
      <c r="AZ22" s="2068">
        <f t="shared" si="9"/>
        <v>5760</v>
      </c>
      <c r="BA22" s="2064">
        <f t="shared" si="33"/>
        <v>97315</v>
      </c>
      <c r="BB22" s="1705">
        <f t="shared" si="53"/>
        <v>98155</v>
      </c>
      <c r="BC22" s="1704">
        <f t="shared" si="48"/>
        <v>-840</v>
      </c>
      <c r="BD22" s="2219">
        <f t="shared" si="49"/>
        <v>-840</v>
      </c>
      <c r="BE22" s="2047">
        <f t="shared" si="11"/>
        <v>0</v>
      </c>
      <c r="BF22" s="472"/>
      <c r="BG22" s="2005">
        <f t="shared" si="34"/>
        <v>70755</v>
      </c>
      <c r="BH22" s="1999">
        <f t="shared" si="35"/>
        <v>26560</v>
      </c>
      <c r="BI22" s="1995">
        <f t="shared" si="36"/>
        <v>97315</v>
      </c>
      <c r="BJ22" s="827">
        <f t="shared" si="37"/>
        <v>0</v>
      </c>
      <c r="BK22" s="2002">
        <f t="shared" si="38"/>
        <v>26560</v>
      </c>
      <c r="BL22" s="2008">
        <f t="shared" si="39"/>
        <v>71595</v>
      </c>
      <c r="BM22" s="1992">
        <f t="shared" si="50"/>
        <v>98155</v>
      </c>
      <c r="BN22" s="2012">
        <f t="shared" si="51"/>
        <v>0</v>
      </c>
      <c r="BO22" s="1995">
        <f t="shared" si="40"/>
        <v>-840</v>
      </c>
      <c r="BP22" s="1992">
        <f t="shared" si="52"/>
        <v>-840</v>
      </c>
    </row>
    <row r="23" spans="1:77" s="366" customFormat="1" ht="20.25" customHeight="1" x14ac:dyDescent="0.35">
      <c r="A23" s="1676"/>
      <c r="B23" s="1674" t="s">
        <v>20</v>
      </c>
      <c r="C23" s="1675"/>
      <c r="D23" s="1675"/>
      <c r="E23" s="1856">
        <f t="shared" si="29"/>
        <v>456631</v>
      </c>
      <c r="F23" s="2061">
        <f>U23+AD23</f>
        <v>247747</v>
      </c>
      <c r="G23" s="1884"/>
      <c r="H23" s="2062">
        <f t="shared" si="14"/>
        <v>247747</v>
      </c>
      <c r="I23" s="1926">
        <f t="shared" si="30"/>
        <v>133060</v>
      </c>
      <c r="J23" s="2062"/>
      <c r="K23" s="2115">
        <f t="shared" si="41"/>
        <v>133060</v>
      </c>
      <c r="L23" s="2116">
        <f t="shared" si="42"/>
        <v>75824</v>
      </c>
      <c r="M23" s="2062"/>
      <c r="N23" s="2115">
        <f t="shared" si="43"/>
        <v>75824</v>
      </c>
      <c r="O23" s="1702">
        <v>32285</v>
      </c>
      <c r="P23" s="1703">
        <f>'[16]สรุป สปร. รายเดือน'!$C$4</f>
        <v>32285.200000000001</v>
      </c>
      <c r="Q23" s="1702">
        <v>1550</v>
      </c>
      <c r="R23" s="1703">
        <f>'[16]สรุป สปร. รายเดือน'!$C$5</f>
        <v>1550</v>
      </c>
      <c r="S23" s="1702">
        <v>29350</v>
      </c>
      <c r="T23" s="1703">
        <f>'[16]สรุป สปร. รายเดือน'!$C$6</f>
        <v>29350</v>
      </c>
      <c r="U23" s="1726">
        <f t="shared" si="44"/>
        <v>63185</v>
      </c>
      <c r="V23" s="1730">
        <f t="shared" si="19"/>
        <v>63185.2</v>
      </c>
      <c r="W23" s="1697">
        <f t="shared" si="20"/>
        <v>-0.19999999999708962</v>
      </c>
      <c r="X23" s="1702">
        <v>42808</v>
      </c>
      <c r="Y23" s="1703">
        <f>'[16]สรุป สปร. รายเดือน'!$C$7</f>
        <v>42808</v>
      </c>
      <c r="Z23" s="1702">
        <v>57600</v>
      </c>
      <c r="AA23" s="1703">
        <f>'[16]สรุป สปร. รายเดือน'!$C$8</f>
        <v>57600</v>
      </c>
      <c r="AB23" s="1702">
        <v>84154</v>
      </c>
      <c r="AC23" s="1703">
        <f>'[16]สรุป สปร. รายเดือน'!$C$9</f>
        <v>84154</v>
      </c>
      <c r="AD23" s="2064">
        <f t="shared" si="45"/>
        <v>184562</v>
      </c>
      <c r="AE23" s="1730">
        <f>SUM(Y23+AA23+AC23)</f>
        <v>184562</v>
      </c>
      <c r="AF23" s="1697">
        <f t="shared" si="6"/>
        <v>0</v>
      </c>
      <c r="AG23" s="1702">
        <v>9450</v>
      </c>
      <c r="AH23" s="1703">
        <f>'[16]สรุป สปร. รายเดือน'!$C$10</f>
        <v>9450</v>
      </c>
      <c r="AI23" s="1702">
        <v>68410</v>
      </c>
      <c r="AJ23" s="1703">
        <f>'[16]สรุป สปร. รายเดือน'!$C$11</f>
        <v>68410</v>
      </c>
      <c r="AK23" s="1702">
        <v>55200</v>
      </c>
      <c r="AL23" s="1703">
        <f>'[16]สรุป สปร. รายเดือน'!$C$12</f>
        <v>66640</v>
      </c>
      <c r="AM23" s="2064">
        <f t="shared" si="46"/>
        <v>133060</v>
      </c>
      <c r="AN23" s="1730">
        <f t="shared" si="31"/>
        <v>144500</v>
      </c>
      <c r="AO23" s="1697">
        <f t="shared" si="7"/>
        <v>-11440</v>
      </c>
      <c r="AP23" s="1702">
        <v>8100</v>
      </c>
      <c r="AQ23" s="1703">
        <f>'[16]สรุป สปร. รายเดือน'!$C$13</f>
        <v>5100</v>
      </c>
      <c r="AR23" s="1702">
        <f>48800+21764-8440</f>
        <v>62124</v>
      </c>
      <c r="AS23" s="1703">
        <f>'[16]สรุป สปร. รายเดือน'!$C$14</f>
        <v>66300</v>
      </c>
      <c r="AT23" s="1702">
        <v>5600</v>
      </c>
      <c r="AU23" s="1703">
        <f>'[16]สรุป สปร. รายเดือน'!$C$15</f>
        <v>7250</v>
      </c>
      <c r="AV23" s="2064">
        <f t="shared" si="47"/>
        <v>75824</v>
      </c>
      <c r="AW23" s="1730">
        <f t="shared" si="32"/>
        <v>78650</v>
      </c>
      <c r="AX23" s="1697">
        <f t="shared" si="8"/>
        <v>-2826</v>
      </c>
      <c r="AY23" s="1830">
        <f t="shared" si="22"/>
        <v>-0.20000000001164153</v>
      </c>
      <c r="AZ23" s="2068">
        <f t="shared" si="9"/>
        <v>-11440.200000000012</v>
      </c>
      <c r="BA23" s="2064">
        <f t="shared" si="33"/>
        <v>456631</v>
      </c>
      <c r="BB23" s="1705">
        <f t="shared" si="53"/>
        <v>470897.2</v>
      </c>
      <c r="BC23" s="1704">
        <f t="shared" si="48"/>
        <v>-14266.200000000012</v>
      </c>
      <c r="BD23" s="2219">
        <f t="shared" si="49"/>
        <v>-14266.200000000012</v>
      </c>
      <c r="BE23" s="2047">
        <f t="shared" si="11"/>
        <v>0</v>
      </c>
      <c r="BF23" s="472"/>
      <c r="BG23" s="2005">
        <f t="shared" si="34"/>
        <v>293038</v>
      </c>
      <c r="BH23" s="1999">
        <f t="shared" si="35"/>
        <v>163593</v>
      </c>
      <c r="BI23" s="1995">
        <f t="shared" si="36"/>
        <v>456631</v>
      </c>
      <c r="BJ23" s="827">
        <f t="shared" si="37"/>
        <v>0</v>
      </c>
      <c r="BK23" s="2002">
        <f t="shared" si="38"/>
        <v>163593.20000000001</v>
      </c>
      <c r="BL23" s="2008">
        <f t="shared" si="39"/>
        <v>307304</v>
      </c>
      <c r="BM23" s="1992">
        <f t="shared" si="50"/>
        <v>470897.2</v>
      </c>
      <c r="BN23" s="2012">
        <f t="shared" si="51"/>
        <v>-0.20000000001164153</v>
      </c>
      <c r="BO23" s="1995">
        <f t="shared" si="40"/>
        <v>-14266</v>
      </c>
      <c r="BP23" s="1992">
        <f t="shared" si="52"/>
        <v>-14266.200000000012</v>
      </c>
    </row>
    <row r="24" spans="1:77" s="366" customFormat="1" ht="20.25" customHeight="1" x14ac:dyDescent="0.35">
      <c r="A24" s="1676"/>
      <c r="B24" s="1679" t="s">
        <v>5</v>
      </c>
      <c r="C24" s="1680"/>
      <c r="D24" s="1680"/>
      <c r="E24" s="1856">
        <f t="shared" si="29"/>
        <v>162388</v>
      </c>
      <c r="F24" s="2061">
        <f t="shared" si="54"/>
        <v>48047</v>
      </c>
      <c r="G24" s="1884"/>
      <c r="H24" s="2062">
        <f t="shared" si="14"/>
        <v>48047</v>
      </c>
      <c r="I24" s="1926">
        <f t="shared" si="30"/>
        <v>50910</v>
      </c>
      <c r="J24" s="2062"/>
      <c r="K24" s="2115">
        <f t="shared" si="41"/>
        <v>50910</v>
      </c>
      <c r="L24" s="2116">
        <f t="shared" si="42"/>
        <v>63431</v>
      </c>
      <c r="M24" s="2062"/>
      <c r="N24" s="2115">
        <f t="shared" si="43"/>
        <v>63431</v>
      </c>
      <c r="O24" s="1702">
        <v>308</v>
      </c>
      <c r="P24" s="1703">
        <f>'[17]สรุป สพก.รายเดือน'!$C$4</f>
        <v>308</v>
      </c>
      <c r="Q24" s="1702">
        <v>21734</v>
      </c>
      <c r="R24" s="1703">
        <f>'[17]สรุป สพก.รายเดือน'!$C$5</f>
        <v>21733.5</v>
      </c>
      <c r="S24" s="1702">
        <v>21965</v>
      </c>
      <c r="T24" s="1703">
        <f>'[17]สรุป สพก.รายเดือน'!$C$6</f>
        <v>21965</v>
      </c>
      <c r="U24" s="1726">
        <f t="shared" si="44"/>
        <v>44007</v>
      </c>
      <c r="V24" s="1730">
        <f t="shared" si="19"/>
        <v>44006.5</v>
      </c>
      <c r="W24" s="1697">
        <f t="shared" si="20"/>
        <v>0.5</v>
      </c>
      <c r="X24" s="1702">
        <v>1290</v>
      </c>
      <c r="Y24" s="1703">
        <f>'[17]สรุป สพก.รายเดือน'!$C$7</f>
        <v>1290</v>
      </c>
      <c r="Z24" s="1702">
        <v>2750</v>
      </c>
      <c r="AA24" s="1703">
        <f>'[17]สรุป สพก.รายเดือน'!$C$8</f>
        <v>2750</v>
      </c>
      <c r="AB24" s="1702">
        <v>0</v>
      </c>
      <c r="AC24" s="1703">
        <f>'[17]สรุป สพก.รายเดือน'!$C$9</f>
        <v>0</v>
      </c>
      <c r="AD24" s="2064">
        <f t="shared" si="45"/>
        <v>4040</v>
      </c>
      <c r="AE24" s="1730">
        <f t="shared" si="5"/>
        <v>4040</v>
      </c>
      <c r="AF24" s="1697">
        <f t="shared" si="6"/>
        <v>0</v>
      </c>
      <c r="AG24" s="1702">
        <v>15162</v>
      </c>
      <c r="AH24" s="1703">
        <f>'[17]สรุป สพก.รายเดือน'!$C$10</f>
        <v>15162.3</v>
      </c>
      <c r="AI24" s="1702">
        <v>33148</v>
      </c>
      <c r="AJ24" s="1703">
        <f>'[17]สรุป สพก.รายเดือน'!$C$11</f>
        <v>33147.5</v>
      </c>
      <c r="AK24" s="1702">
        <v>2600</v>
      </c>
      <c r="AL24" s="1703">
        <f>'[17]สรุป สพก.รายเดือน'!$C$12</f>
        <v>0</v>
      </c>
      <c r="AM24" s="2064">
        <f t="shared" si="46"/>
        <v>50910</v>
      </c>
      <c r="AN24" s="1730">
        <f t="shared" si="31"/>
        <v>48309.8</v>
      </c>
      <c r="AO24" s="1697">
        <f t="shared" si="7"/>
        <v>2600.1999999999971</v>
      </c>
      <c r="AP24" s="1702">
        <v>1900</v>
      </c>
      <c r="AQ24" s="1703">
        <f>'[17]สรุป สพก.รายเดือน'!$C$13</f>
        <v>0</v>
      </c>
      <c r="AR24" s="1702">
        <f>30500+21031</f>
        <v>51531</v>
      </c>
      <c r="AS24" s="1703">
        <f>'[17]สรุป สพก.รายเดือน'!$C$14</f>
        <v>58796.5</v>
      </c>
      <c r="AT24" s="1702">
        <v>10000</v>
      </c>
      <c r="AU24" s="1703">
        <f>'[17]สรุป สพก.รายเดือน'!$C$15</f>
        <v>10425</v>
      </c>
      <c r="AV24" s="2064">
        <f t="shared" si="47"/>
        <v>63431</v>
      </c>
      <c r="AW24" s="1730">
        <f t="shared" si="32"/>
        <v>69221.5</v>
      </c>
      <c r="AX24" s="1697">
        <f t="shared" si="8"/>
        <v>-5790.5</v>
      </c>
      <c r="AY24" s="1830">
        <f t="shared" si="22"/>
        <v>0.5</v>
      </c>
      <c r="AZ24" s="2068">
        <f t="shared" si="9"/>
        <v>2600.6999999999971</v>
      </c>
      <c r="BA24" s="2064">
        <f t="shared" si="33"/>
        <v>162388</v>
      </c>
      <c r="BB24" s="1705">
        <f t="shared" si="53"/>
        <v>165577.79999999999</v>
      </c>
      <c r="BC24" s="1704">
        <f t="shared" si="48"/>
        <v>-3189.7999999999884</v>
      </c>
      <c r="BD24" s="2219">
        <f t="shared" si="49"/>
        <v>-3189.7999999999884</v>
      </c>
      <c r="BE24" s="2047">
        <f t="shared" si="11"/>
        <v>0</v>
      </c>
      <c r="BF24" s="472"/>
      <c r="BG24" s="2005">
        <f t="shared" si="34"/>
        <v>114341</v>
      </c>
      <c r="BH24" s="1999">
        <f t="shared" si="35"/>
        <v>48047</v>
      </c>
      <c r="BI24" s="1995">
        <f t="shared" si="36"/>
        <v>162388</v>
      </c>
      <c r="BJ24" s="827">
        <f t="shared" si="37"/>
        <v>0</v>
      </c>
      <c r="BK24" s="2002">
        <f t="shared" si="38"/>
        <v>48046.5</v>
      </c>
      <c r="BL24" s="2008">
        <f t="shared" si="39"/>
        <v>117531.3</v>
      </c>
      <c r="BM24" s="1992">
        <f t="shared" si="50"/>
        <v>165577.79999999999</v>
      </c>
      <c r="BN24" s="2012">
        <f t="shared" si="51"/>
        <v>0.5</v>
      </c>
      <c r="BO24" s="1995">
        <f t="shared" si="40"/>
        <v>-3190.3000000000029</v>
      </c>
      <c r="BP24" s="1992">
        <f t="shared" si="52"/>
        <v>-3189.8000000000029</v>
      </c>
    </row>
    <row r="25" spans="1:77" s="366" customFormat="1" ht="20.25" customHeight="1" x14ac:dyDescent="0.35">
      <c r="A25" s="1676"/>
      <c r="B25" s="1674" t="s">
        <v>21</v>
      </c>
      <c r="C25" s="1675"/>
      <c r="D25" s="1675"/>
      <c r="E25" s="1856">
        <f>F25+I25+L25</f>
        <v>238603</v>
      </c>
      <c r="F25" s="2061">
        <f t="shared" si="54"/>
        <v>180408</v>
      </c>
      <c r="G25" s="1884"/>
      <c r="H25" s="2062">
        <f t="shared" si="14"/>
        <v>180408</v>
      </c>
      <c r="I25" s="1926">
        <f t="shared" si="30"/>
        <v>52945</v>
      </c>
      <c r="J25" s="2062"/>
      <c r="K25" s="2115">
        <f t="shared" si="41"/>
        <v>52945</v>
      </c>
      <c r="L25" s="2116">
        <f t="shared" si="42"/>
        <v>5250</v>
      </c>
      <c r="M25" s="2062"/>
      <c r="N25" s="2115">
        <f t="shared" si="43"/>
        <v>5250</v>
      </c>
      <c r="O25" s="1702">
        <v>0</v>
      </c>
      <c r="P25" s="1703">
        <f>'[18]สรุป สปข.รายเดือน'!$C$4</f>
        <v>0</v>
      </c>
      <c r="Q25" s="1702">
        <v>0</v>
      </c>
      <c r="R25" s="1703">
        <f>'[18]สรุป สปข.รายเดือน'!$C$5</f>
        <v>0</v>
      </c>
      <c r="S25" s="1702">
        <v>4243</v>
      </c>
      <c r="T25" s="1703">
        <f>'[18]สรุป สปข.รายเดือน'!$C$6</f>
        <v>4243.07</v>
      </c>
      <c r="U25" s="1726">
        <f t="shared" si="44"/>
        <v>4243</v>
      </c>
      <c r="V25" s="1730">
        <f t="shared" si="19"/>
        <v>4243.07</v>
      </c>
      <c r="W25" s="1697">
        <f t="shared" si="20"/>
        <v>-6.9999999999708962E-2</v>
      </c>
      <c r="X25" s="1702">
        <v>0</v>
      </c>
      <c r="Y25" s="1703">
        <f>'[18]สรุป สปข.รายเดือน'!$C$7</f>
        <v>0</v>
      </c>
      <c r="Z25" s="1702">
        <v>700</v>
      </c>
      <c r="AA25" s="1703">
        <f>'[18]สรุป สปข.รายเดือน'!$C$8</f>
        <v>700</v>
      </c>
      <c r="AB25" s="1702">
        <v>175465</v>
      </c>
      <c r="AC25" s="1703">
        <f>'[18]สรุป สปข.รายเดือน'!$C$9</f>
        <v>175465</v>
      </c>
      <c r="AD25" s="2064">
        <f t="shared" si="45"/>
        <v>176165</v>
      </c>
      <c r="AE25" s="1730">
        <f t="shared" si="5"/>
        <v>176165</v>
      </c>
      <c r="AF25" s="1697">
        <f t="shared" si="6"/>
        <v>0</v>
      </c>
      <c r="AG25" s="1702">
        <v>18735</v>
      </c>
      <c r="AH25" s="1703">
        <f>'[18]สรุป สปข.รายเดือน'!$C$10</f>
        <v>18735</v>
      </c>
      <c r="AI25" s="1702">
        <v>33460</v>
      </c>
      <c r="AJ25" s="1703">
        <f>'[18]สรุป สปข.รายเดือน'!$C$11</f>
        <v>33459.5</v>
      </c>
      <c r="AK25" s="1702">
        <v>750</v>
      </c>
      <c r="AL25" s="1703">
        <f>'[18]สรุป สปข.รายเดือน'!$C$12</f>
        <v>2030</v>
      </c>
      <c r="AM25" s="2064">
        <f t="shared" si="46"/>
        <v>52945</v>
      </c>
      <c r="AN25" s="1730">
        <f t="shared" si="31"/>
        <v>54224.5</v>
      </c>
      <c r="AO25" s="1697">
        <f t="shared" si="7"/>
        <v>-1279.5</v>
      </c>
      <c r="AP25" s="1702">
        <f>750+1000</f>
        <v>1750</v>
      </c>
      <c r="AQ25" s="1703">
        <f>'[18]สรุป สปข.รายเดือน'!$C$13</f>
        <v>735</v>
      </c>
      <c r="AR25" s="1702">
        <f>750+1000</f>
        <v>1750</v>
      </c>
      <c r="AS25" s="1703">
        <f>'[18]สรุป สปข.รายเดือน'!$C$14</f>
        <v>3430</v>
      </c>
      <c r="AT25" s="1702">
        <f>750+1000</f>
        <v>1750</v>
      </c>
      <c r="AU25" s="1703">
        <f>'[18]สรุป สปข.รายเดือน'!$C$15</f>
        <v>0</v>
      </c>
      <c r="AV25" s="2064">
        <f t="shared" si="47"/>
        <v>5250</v>
      </c>
      <c r="AW25" s="1730">
        <f t="shared" si="32"/>
        <v>4165</v>
      </c>
      <c r="AX25" s="1697">
        <f t="shared" si="8"/>
        <v>1085</v>
      </c>
      <c r="AY25" s="1830">
        <f t="shared" si="22"/>
        <v>-7.0000000006984919E-2</v>
      </c>
      <c r="AZ25" s="2068">
        <f t="shared" si="9"/>
        <v>-1279.570000000007</v>
      </c>
      <c r="BA25" s="2064">
        <f t="shared" si="33"/>
        <v>238603</v>
      </c>
      <c r="BB25" s="1705">
        <f t="shared" si="53"/>
        <v>238797.57</v>
      </c>
      <c r="BC25" s="1704">
        <f t="shared" si="48"/>
        <v>-194.57000000000698</v>
      </c>
      <c r="BD25" s="2219">
        <f>BA25-BB25</f>
        <v>-194.57000000000698</v>
      </c>
      <c r="BE25" s="2047">
        <f t="shared" si="11"/>
        <v>0</v>
      </c>
      <c r="BF25" s="472"/>
      <c r="BG25" s="2005">
        <f t="shared" si="34"/>
        <v>233660</v>
      </c>
      <c r="BH25" s="1999">
        <f t="shared" si="35"/>
        <v>4943</v>
      </c>
      <c r="BI25" s="1995">
        <f t="shared" si="36"/>
        <v>238603</v>
      </c>
      <c r="BJ25" s="827">
        <f t="shared" si="37"/>
        <v>0</v>
      </c>
      <c r="BK25" s="2002">
        <f t="shared" si="38"/>
        <v>4943.07</v>
      </c>
      <c r="BL25" s="2008">
        <f t="shared" si="39"/>
        <v>233854.5</v>
      </c>
      <c r="BM25" s="1992">
        <f t="shared" si="50"/>
        <v>238797.57</v>
      </c>
      <c r="BN25" s="2012">
        <f t="shared" si="51"/>
        <v>-6.9999999999708962E-2</v>
      </c>
      <c r="BO25" s="1995">
        <f t="shared" si="40"/>
        <v>-194.5</v>
      </c>
      <c r="BP25" s="1992">
        <f t="shared" si="52"/>
        <v>-194.57000000000698</v>
      </c>
    </row>
    <row r="26" spans="1:77" s="1618" customFormat="1" ht="26.25" customHeight="1" x14ac:dyDescent="0.35">
      <c r="A26" s="1784" t="s">
        <v>628</v>
      </c>
      <c r="B26" s="1827"/>
      <c r="C26" s="1827"/>
      <c r="D26" s="1827"/>
      <c r="E26" s="2117">
        <f>E33+E34+E35+E28</f>
        <v>36735400</v>
      </c>
      <c r="F26" s="2118">
        <f>F33+F34+F35+F28</f>
        <v>36735400</v>
      </c>
      <c r="G26" s="2119"/>
      <c r="H26" s="2120">
        <f t="shared" si="14"/>
        <v>36735400</v>
      </c>
      <c r="I26" s="2121"/>
      <c r="J26" s="2120"/>
      <c r="K26" s="2120"/>
      <c r="L26" s="2122"/>
      <c r="M26" s="2120"/>
      <c r="N26" s="2120"/>
      <c r="O26" s="2120">
        <f>SUM(O33:O37)</f>
        <v>0</v>
      </c>
      <c r="P26" s="2120">
        <f>P28+P33+P34+P36+P37</f>
        <v>15900</v>
      </c>
      <c r="Q26" s="2120">
        <f t="shared" ref="Q26:AX26" si="55">Q28+Q33+Q34+Q36+Q37</f>
        <v>0</v>
      </c>
      <c r="R26" s="2120">
        <f t="shared" si="55"/>
        <v>385179.4</v>
      </c>
      <c r="S26" s="2120">
        <f t="shared" si="55"/>
        <v>585900</v>
      </c>
      <c r="T26" s="2120">
        <f t="shared" si="55"/>
        <v>0</v>
      </c>
      <c r="U26" s="2120">
        <f>U28+U33+U34+U36+U37</f>
        <v>1002400</v>
      </c>
      <c r="V26" s="2120">
        <f t="shared" si="55"/>
        <v>401079.4</v>
      </c>
      <c r="W26" s="2120">
        <f t="shared" si="55"/>
        <v>601320.6</v>
      </c>
      <c r="X26" s="2120">
        <f t="shared" si="55"/>
        <v>0</v>
      </c>
      <c r="Y26" s="2120">
        <f t="shared" si="55"/>
        <v>0</v>
      </c>
      <c r="Z26" s="2120">
        <f t="shared" si="55"/>
        <v>1520000</v>
      </c>
      <c r="AA26" s="2120">
        <f t="shared" si="55"/>
        <v>0</v>
      </c>
      <c r="AB26" s="2120">
        <f t="shared" si="55"/>
        <v>21775740</v>
      </c>
      <c r="AC26" s="2120">
        <f t="shared" si="55"/>
        <v>2053200</v>
      </c>
      <c r="AD26" s="2123">
        <f t="shared" si="55"/>
        <v>23295740</v>
      </c>
      <c r="AE26" s="2124">
        <f t="shared" si="55"/>
        <v>2053200</v>
      </c>
      <c r="AF26" s="2120">
        <f t="shared" si="55"/>
        <v>21242540</v>
      </c>
      <c r="AG26" s="2120">
        <f t="shared" si="55"/>
        <v>0</v>
      </c>
      <c r="AH26" s="2120">
        <f t="shared" si="55"/>
        <v>8897200</v>
      </c>
      <c r="AI26" s="2120">
        <f t="shared" si="55"/>
        <v>490000</v>
      </c>
      <c r="AJ26" s="2120">
        <f t="shared" si="55"/>
        <v>446722.2</v>
      </c>
      <c r="AK26" s="2120">
        <f t="shared" si="55"/>
        <v>10189560</v>
      </c>
      <c r="AL26" s="2120">
        <f t="shared" si="55"/>
        <v>0</v>
      </c>
      <c r="AM26" s="2123">
        <f t="shared" si="55"/>
        <v>10679560</v>
      </c>
      <c r="AN26" s="2124">
        <f t="shared" si="55"/>
        <v>9343922.1999999993</v>
      </c>
      <c r="AO26" s="2120">
        <f t="shared" si="55"/>
        <v>1335637.8</v>
      </c>
      <c r="AP26" s="1897">
        <f t="shared" si="55"/>
        <v>0</v>
      </c>
      <c r="AQ26" s="1897">
        <f t="shared" si="55"/>
        <v>3138044.4</v>
      </c>
      <c r="AR26" s="1897">
        <f t="shared" si="55"/>
        <v>0</v>
      </c>
      <c r="AS26" s="1897">
        <f t="shared" si="55"/>
        <v>10788565</v>
      </c>
      <c r="AT26" s="1897">
        <f t="shared" si="55"/>
        <v>1757700</v>
      </c>
      <c r="AU26" s="1897">
        <f t="shared" si="55"/>
        <v>800888.8</v>
      </c>
      <c r="AV26" s="1898">
        <f t="shared" si="55"/>
        <v>1757700</v>
      </c>
      <c r="AW26" s="1899">
        <f t="shared" si="55"/>
        <v>14727498.199999999</v>
      </c>
      <c r="AX26" s="1897">
        <f t="shared" si="55"/>
        <v>-12969798.199999999</v>
      </c>
      <c r="AY26" s="1910">
        <f t="shared" si="22"/>
        <v>34281120.600000001</v>
      </c>
      <c r="AZ26" s="2034">
        <f t="shared" si="9"/>
        <v>24937198.400000002</v>
      </c>
      <c r="BA26" s="1898">
        <f>U26+AD26+AM26+AV26</f>
        <v>36735400</v>
      </c>
      <c r="BB26" s="1897">
        <f t="shared" si="53"/>
        <v>26525699.799999997</v>
      </c>
      <c r="BC26" s="1897">
        <f>E26-V26-AE26-AN26-AW26</f>
        <v>10209700.200000003</v>
      </c>
      <c r="BD26" s="2048"/>
      <c r="BE26" s="2047"/>
      <c r="BF26" s="1764"/>
      <c r="BG26" s="2006">
        <f>SUM(BG16:BG25)</f>
        <v>2074097</v>
      </c>
      <c r="BH26" s="2000">
        <f>SUM(BH16:BH25)</f>
        <v>656285</v>
      </c>
      <c r="BI26" s="1996">
        <f t="shared" si="36"/>
        <v>2730382</v>
      </c>
      <c r="BJ26" s="1997">
        <f>SUM(BJ16:BJ25)</f>
        <v>0</v>
      </c>
      <c r="BK26" s="2003" t="e">
        <f>SUM(BK16:BK25)</f>
        <v>#REF!</v>
      </c>
      <c r="BL26" s="2009" t="e">
        <f>SUM(BL16:BL25)</f>
        <v>#REF!</v>
      </c>
      <c r="BM26" s="1994" t="e">
        <f>SUM(BM16:BM25)</f>
        <v>#REF!</v>
      </c>
      <c r="BN26" s="2013" t="e">
        <f t="shared" si="51"/>
        <v>#REF!</v>
      </c>
      <c r="BO26" s="1996" t="e">
        <f t="shared" si="40"/>
        <v>#REF!</v>
      </c>
      <c r="BP26" s="1994" t="e">
        <f>SUM(BP16:BP25)</f>
        <v>#REF!</v>
      </c>
      <c r="BQ26" s="1817"/>
      <c r="BR26" s="1817"/>
      <c r="BS26" s="1817"/>
      <c r="BT26" s="1817"/>
      <c r="BU26" s="1817"/>
      <c r="BV26" s="1817"/>
      <c r="BW26" s="1817"/>
      <c r="BX26" s="1817"/>
      <c r="BY26" s="1817"/>
    </row>
    <row r="27" spans="1:77" ht="20.25" customHeight="1" x14ac:dyDescent="0.35">
      <c r="A27" s="3350" t="s">
        <v>629</v>
      </c>
      <c r="B27" s="3351"/>
      <c r="C27" s="3351"/>
      <c r="D27" s="3352"/>
      <c r="E27" s="2125">
        <f>E28+E33+E34</f>
        <v>19532300</v>
      </c>
      <c r="F27" s="2126"/>
      <c r="G27" s="2101"/>
      <c r="H27" s="2127"/>
      <c r="I27" s="2128"/>
      <c r="J27" s="2127"/>
      <c r="K27" s="2127"/>
      <c r="L27" s="2116"/>
      <c r="M27" s="2127"/>
      <c r="N27" s="2127"/>
      <c r="O27" s="2127"/>
      <c r="P27" s="2127"/>
      <c r="Q27" s="2127"/>
      <c r="R27" s="2127"/>
      <c r="S27" s="2127"/>
      <c r="T27" s="2127"/>
      <c r="U27" s="2129">
        <f>SUM(O27+Q27+S27)</f>
        <v>0</v>
      </c>
      <c r="V27" s="2129">
        <f>SUM(P27+R27+T27)</f>
        <v>0</v>
      </c>
      <c r="W27" s="2129">
        <f t="shared" ref="W27:W32" si="56">U27-V27</f>
        <v>0</v>
      </c>
      <c r="X27" s="2127"/>
      <c r="Y27" s="2127"/>
      <c r="Z27" s="2127"/>
      <c r="AA27" s="2127"/>
      <c r="AB27" s="2127"/>
      <c r="AC27" s="2127"/>
      <c r="AD27" s="2129">
        <f>SUM(X27+Z27+AB27)</f>
        <v>0</v>
      </c>
      <c r="AE27" s="2129">
        <f>SUM(Y27+AA27+AC27)</f>
        <v>0</v>
      </c>
      <c r="AF27" s="2129">
        <f>AD27-AE27</f>
        <v>0</v>
      </c>
      <c r="AG27" s="2127"/>
      <c r="AH27" s="2127"/>
      <c r="AI27" s="2127"/>
      <c r="AJ27" s="2127"/>
      <c r="AK27" s="2127"/>
      <c r="AL27" s="2127"/>
      <c r="AM27" s="2129">
        <f>SUM(AG27+AI27+AK27)</f>
        <v>0</v>
      </c>
      <c r="AN27" s="2129">
        <f>SUM(AH27+AJ27+AL27)</f>
        <v>0</v>
      </c>
      <c r="AO27" s="2129">
        <f>AM27-AN27</f>
        <v>0</v>
      </c>
      <c r="AP27" s="1785"/>
      <c r="AQ27" s="1785"/>
      <c r="AR27" s="1785"/>
      <c r="AS27" s="1785"/>
      <c r="AT27" s="1785"/>
      <c r="AU27" s="1785"/>
      <c r="AV27" s="1786">
        <f>SUM(AP27+AR27+AT27)</f>
        <v>0</v>
      </c>
      <c r="AW27" s="1786">
        <f>SUM(AQ27+AS27+AU27)</f>
        <v>0</v>
      </c>
      <c r="AX27" s="1786">
        <f>AV27-AW27</f>
        <v>0</v>
      </c>
      <c r="AY27" s="1786"/>
      <c r="AZ27" s="2030">
        <f t="shared" si="9"/>
        <v>0</v>
      </c>
      <c r="BA27" s="1724">
        <f t="shared" ref="BA27:BA41" si="57">G27+U27+AD27+AM27+AV27</f>
        <v>0</v>
      </c>
      <c r="BB27" s="1786">
        <f t="shared" si="53"/>
        <v>0</v>
      </c>
      <c r="BC27" s="1786">
        <f>E27-V27-AE27</f>
        <v>19532300</v>
      </c>
      <c r="BD27" s="2049"/>
      <c r="BE27" s="2047"/>
    </row>
    <row r="28" spans="1:77" ht="21.75" customHeight="1" x14ac:dyDescent="0.35">
      <c r="A28" s="1776"/>
      <c r="B28" s="1783" t="s">
        <v>680</v>
      </c>
      <c r="C28" s="1783"/>
      <c r="D28" s="1783"/>
      <c r="E28" s="2130">
        <f>E29+E30+E31+E32</f>
        <v>416500</v>
      </c>
      <c r="F28" s="2131">
        <f t="shared" ref="F28:F37" si="58">E28</f>
        <v>416500</v>
      </c>
      <c r="G28" s="2132"/>
      <c r="H28" s="2133">
        <f t="shared" ref="H28:H36" si="59">F28-G28</f>
        <v>416500</v>
      </c>
      <c r="I28" s="2134"/>
      <c r="J28" s="2133"/>
      <c r="K28" s="2133"/>
      <c r="L28" s="2135"/>
      <c r="M28" s="2133"/>
      <c r="N28" s="2133"/>
      <c r="O28" s="2133"/>
      <c r="P28" s="2133">
        <f>SUM(P29:P32)</f>
        <v>15900</v>
      </c>
      <c r="Q28" s="2133"/>
      <c r="R28" s="2133">
        <f>SUM(R29:R32)</f>
        <v>385179.4</v>
      </c>
      <c r="S28" s="2133"/>
      <c r="T28" s="2133">
        <f>SUM(T29:T32)</f>
        <v>0</v>
      </c>
      <c r="U28" s="2133">
        <f>SUM(U29:U32)</f>
        <v>416500</v>
      </c>
      <c r="V28" s="2133">
        <f>SUM(V29:V32)</f>
        <v>401079.4</v>
      </c>
      <c r="W28" s="2133">
        <f t="shared" si="56"/>
        <v>15420.599999999977</v>
      </c>
      <c r="X28" s="2136"/>
      <c r="Y28" s="2136">
        <f>SUM(Y29:Y32)</f>
        <v>0</v>
      </c>
      <c r="Z28" s="2136"/>
      <c r="AA28" s="2136"/>
      <c r="AB28" s="2136"/>
      <c r="AC28" s="2136"/>
      <c r="AD28" s="2137"/>
      <c r="AE28" s="2138"/>
      <c r="AF28" s="2136"/>
      <c r="AG28" s="2136"/>
      <c r="AH28" s="2136"/>
      <c r="AI28" s="2136"/>
      <c r="AJ28" s="2136"/>
      <c r="AK28" s="2136"/>
      <c r="AL28" s="2136"/>
      <c r="AM28" s="2137"/>
      <c r="AN28" s="2138"/>
      <c r="AO28" s="2136"/>
      <c r="AP28" s="1779"/>
      <c r="AQ28" s="1779"/>
      <c r="AR28" s="1779"/>
      <c r="AS28" s="1779"/>
      <c r="AT28" s="1779"/>
      <c r="AU28" s="1779"/>
      <c r="AV28" s="1780"/>
      <c r="AW28" s="1781"/>
      <c r="AX28" s="1779"/>
      <c r="AY28" s="1831"/>
      <c r="AZ28" s="2034">
        <f t="shared" si="9"/>
        <v>0</v>
      </c>
      <c r="BA28" s="1780">
        <f t="shared" si="57"/>
        <v>416500</v>
      </c>
      <c r="BB28" s="1782">
        <f t="shared" si="53"/>
        <v>401079.4</v>
      </c>
      <c r="BC28" s="1782">
        <f>E28-BB28</f>
        <v>15420.599999999977</v>
      </c>
      <c r="BD28" s="2050"/>
      <c r="BE28" s="2047"/>
    </row>
    <row r="29" spans="1:77" ht="22.5" customHeight="1" x14ac:dyDescent="0.35">
      <c r="A29" s="1776"/>
      <c r="B29" s="1777" t="s">
        <v>676</v>
      </c>
      <c r="C29" s="1778"/>
      <c r="D29" s="1778"/>
      <c r="E29" s="2125">
        <v>198300</v>
      </c>
      <c r="F29" s="2126">
        <f t="shared" si="58"/>
        <v>198300</v>
      </c>
      <c r="G29" s="2139"/>
      <c r="H29" s="2140">
        <f t="shared" si="59"/>
        <v>198300</v>
      </c>
      <c r="I29" s="2141"/>
      <c r="J29" s="2140"/>
      <c r="K29" s="2140"/>
      <c r="L29" s="2142"/>
      <c r="M29" s="2140"/>
      <c r="N29" s="2140"/>
      <c r="O29" s="2143">
        <v>198300</v>
      </c>
      <c r="P29" s="2144">
        <v>0</v>
      </c>
      <c r="Q29" s="2143">
        <v>0</v>
      </c>
      <c r="R29" s="1703">
        <f>'[9]2.รายการ คชจ.ส่วนกลาง'!$AO$7+'[9]2.รายการ คชจ.ส่วนกลาง'!$AO$14-14990.7</f>
        <v>194708.69999999998</v>
      </c>
      <c r="S29" s="2143">
        <v>0</v>
      </c>
      <c r="T29" s="2144">
        <v>0</v>
      </c>
      <c r="U29" s="2145">
        <f t="shared" ref="U29:V32" si="60">O29+Q29+S29</f>
        <v>198300</v>
      </c>
      <c r="V29" s="2146">
        <f t="shared" si="60"/>
        <v>194708.69999999998</v>
      </c>
      <c r="W29" s="2141">
        <f t="shared" si="56"/>
        <v>3591.3000000000175</v>
      </c>
      <c r="X29" s="2143"/>
      <c r="Y29" s="2144"/>
      <c r="Z29" s="2143"/>
      <c r="AA29" s="2144"/>
      <c r="AB29" s="2143"/>
      <c r="AC29" s="2144"/>
      <c r="AD29" s="2145"/>
      <c r="AE29" s="2146"/>
      <c r="AF29" s="2147"/>
      <c r="AG29" s="2143"/>
      <c r="AH29" s="2144"/>
      <c r="AI29" s="2143"/>
      <c r="AJ29" s="2144"/>
      <c r="AK29" s="2143"/>
      <c r="AL29" s="2144"/>
      <c r="AM29" s="2145"/>
      <c r="AN29" s="2146"/>
      <c r="AO29" s="2147"/>
      <c r="AP29" s="1787"/>
      <c r="AQ29" s="1788"/>
      <c r="AR29" s="1787"/>
      <c r="AS29" s="1788"/>
      <c r="AT29" s="1787"/>
      <c r="AU29" s="1792"/>
      <c r="AV29" s="1789"/>
      <c r="AW29" s="1790"/>
      <c r="AX29" s="1792"/>
      <c r="AY29" s="1832"/>
      <c r="AZ29" s="2030">
        <f t="shared" si="9"/>
        <v>0</v>
      </c>
      <c r="BA29" s="1789">
        <f t="shared" si="57"/>
        <v>198300</v>
      </c>
      <c r="BB29" s="1793">
        <f t="shared" si="53"/>
        <v>194708.69999999998</v>
      </c>
      <c r="BC29" s="1793">
        <f>E29-BB29</f>
        <v>3591.3000000000175</v>
      </c>
      <c r="BD29" s="2050"/>
      <c r="BE29" s="2047"/>
    </row>
    <row r="30" spans="1:77" ht="22.5" customHeight="1" x14ac:dyDescent="0.35">
      <c r="A30" s="1776"/>
      <c r="B30" s="1777" t="s">
        <v>677</v>
      </c>
      <c r="C30" s="1778"/>
      <c r="D30" s="1778"/>
      <c r="E30" s="2125">
        <v>15900</v>
      </c>
      <c r="F30" s="2126">
        <f t="shared" si="58"/>
        <v>15900</v>
      </c>
      <c r="G30" s="1884"/>
      <c r="H30" s="1873">
        <f t="shared" si="59"/>
        <v>15900</v>
      </c>
      <c r="I30" s="1926"/>
      <c r="J30" s="1873"/>
      <c r="K30" s="1873"/>
      <c r="L30" s="2042"/>
      <c r="M30" s="1873"/>
      <c r="N30" s="1873"/>
      <c r="O30" s="1702">
        <v>15900</v>
      </c>
      <c r="P30" s="1703">
        <v>15900</v>
      </c>
      <c r="Q30" s="1702"/>
      <c r="R30" s="1703"/>
      <c r="S30" s="1702"/>
      <c r="T30" s="1703"/>
      <c r="U30" s="2148">
        <f t="shared" si="60"/>
        <v>15900</v>
      </c>
      <c r="V30" s="2149">
        <f t="shared" si="60"/>
        <v>15900</v>
      </c>
      <c r="W30" s="1926">
        <f t="shared" si="56"/>
        <v>0</v>
      </c>
      <c r="X30" s="1702"/>
      <c r="Y30" s="1703"/>
      <c r="Z30" s="1702"/>
      <c r="AA30" s="1703"/>
      <c r="AB30" s="1702"/>
      <c r="AC30" s="1703"/>
      <c r="AD30" s="2148"/>
      <c r="AE30" s="2149"/>
      <c r="AF30" s="2150"/>
      <c r="AG30" s="1702"/>
      <c r="AH30" s="1703"/>
      <c r="AI30" s="1702"/>
      <c r="AJ30" s="1703"/>
      <c r="AK30" s="1702"/>
      <c r="AL30" s="1703"/>
      <c r="AM30" s="2148"/>
      <c r="AN30" s="2149"/>
      <c r="AO30" s="2150"/>
      <c r="AP30" s="1698"/>
      <c r="AQ30" s="1699"/>
      <c r="AR30" s="1698"/>
      <c r="AS30" s="1699"/>
      <c r="AT30" s="1698"/>
      <c r="AU30" s="1797"/>
      <c r="AV30" s="1794"/>
      <c r="AW30" s="1795"/>
      <c r="AX30" s="1797"/>
      <c r="AY30" s="1833"/>
      <c r="AZ30" s="2031">
        <f t="shared" si="9"/>
        <v>0</v>
      </c>
      <c r="BA30" s="1794">
        <f t="shared" si="57"/>
        <v>15900</v>
      </c>
      <c r="BB30" s="1798">
        <f t="shared" si="53"/>
        <v>15900</v>
      </c>
      <c r="BC30" s="1798">
        <f>E30-BB30</f>
        <v>0</v>
      </c>
      <c r="BD30" s="2050"/>
      <c r="BE30" s="2047"/>
    </row>
    <row r="31" spans="1:77" ht="22.5" customHeight="1" x14ac:dyDescent="0.35">
      <c r="A31" s="1776"/>
      <c r="B31" s="1777" t="s">
        <v>678</v>
      </c>
      <c r="C31" s="1778"/>
      <c r="D31" s="1778"/>
      <c r="E31" s="2125">
        <v>15000</v>
      </c>
      <c r="F31" s="2126">
        <f t="shared" si="58"/>
        <v>15000</v>
      </c>
      <c r="G31" s="1884"/>
      <c r="H31" s="1873">
        <f t="shared" si="59"/>
        <v>15000</v>
      </c>
      <c r="I31" s="1926"/>
      <c r="J31" s="1873"/>
      <c r="K31" s="1873"/>
      <c r="L31" s="2042"/>
      <c r="M31" s="1873"/>
      <c r="N31" s="1873"/>
      <c r="O31" s="1702">
        <v>15000</v>
      </c>
      <c r="P31" s="1703"/>
      <c r="Q31" s="1702"/>
      <c r="R31" s="1703">
        <v>14990.7</v>
      </c>
      <c r="S31" s="1702"/>
      <c r="T31" s="1703"/>
      <c r="U31" s="2148">
        <f t="shared" si="60"/>
        <v>15000</v>
      </c>
      <c r="V31" s="2149">
        <f t="shared" si="60"/>
        <v>14990.7</v>
      </c>
      <c r="W31" s="1926">
        <f t="shared" si="56"/>
        <v>9.2999999999992724</v>
      </c>
      <c r="X31" s="1702"/>
      <c r="Y31" s="1703"/>
      <c r="Z31" s="1702"/>
      <c r="AA31" s="1703"/>
      <c r="AB31" s="1702"/>
      <c r="AC31" s="1703"/>
      <c r="AD31" s="2148"/>
      <c r="AE31" s="2149"/>
      <c r="AF31" s="2150"/>
      <c r="AG31" s="1702"/>
      <c r="AH31" s="1703"/>
      <c r="AI31" s="1702"/>
      <c r="AJ31" s="1703"/>
      <c r="AK31" s="1702"/>
      <c r="AL31" s="1703"/>
      <c r="AM31" s="2148"/>
      <c r="AN31" s="2149"/>
      <c r="AO31" s="2150"/>
      <c r="AP31" s="1698"/>
      <c r="AQ31" s="1699"/>
      <c r="AR31" s="1698"/>
      <c r="AS31" s="1699"/>
      <c r="AT31" s="1698"/>
      <c r="AU31" s="1797"/>
      <c r="AV31" s="1794"/>
      <c r="AW31" s="1795"/>
      <c r="AX31" s="1797"/>
      <c r="AY31" s="1833"/>
      <c r="AZ31" s="2031">
        <f t="shared" si="9"/>
        <v>0</v>
      </c>
      <c r="BA31" s="1794">
        <f t="shared" si="57"/>
        <v>15000</v>
      </c>
      <c r="BB31" s="1798">
        <f t="shared" si="53"/>
        <v>14990.7</v>
      </c>
      <c r="BC31" s="1798">
        <f>E31-BB31</f>
        <v>9.2999999999992724</v>
      </c>
      <c r="BD31" s="2050"/>
      <c r="BE31" s="2047"/>
    </row>
    <row r="32" spans="1:77" ht="22.5" customHeight="1" x14ac:dyDescent="0.35">
      <c r="A32" s="1776"/>
      <c r="B32" s="1777" t="s">
        <v>679</v>
      </c>
      <c r="C32" s="1778"/>
      <c r="D32" s="1778"/>
      <c r="E32" s="2125">
        <v>187300</v>
      </c>
      <c r="F32" s="2126">
        <f t="shared" si="58"/>
        <v>187300</v>
      </c>
      <c r="G32" s="1884"/>
      <c r="H32" s="1873">
        <f t="shared" si="59"/>
        <v>187300</v>
      </c>
      <c r="I32" s="1926"/>
      <c r="J32" s="1873"/>
      <c r="K32" s="1873"/>
      <c r="L32" s="2042"/>
      <c r="M32" s="1873"/>
      <c r="N32" s="1873"/>
      <c r="O32" s="1702"/>
      <c r="P32" s="1703"/>
      <c r="Q32" s="1702">
        <v>187300</v>
      </c>
      <c r="R32" s="1703">
        <f>'[9]2.รายการ คชจ.ส่วนกลาง'!$AO$13</f>
        <v>175480</v>
      </c>
      <c r="S32" s="1702"/>
      <c r="T32" s="1703"/>
      <c r="U32" s="2148">
        <f t="shared" si="60"/>
        <v>187300</v>
      </c>
      <c r="V32" s="2149">
        <f t="shared" si="60"/>
        <v>175480</v>
      </c>
      <c r="W32" s="1926">
        <f t="shared" si="56"/>
        <v>11820</v>
      </c>
      <c r="X32" s="1702"/>
      <c r="Y32" s="1703"/>
      <c r="Z32" s="1702"/>
      <c r="AA32" s="1703"/>
      <c r="AB32" s="1702"/>
      <c r="AC32" s="1703"/>
      <c r="AD32" s="2148"/>
      <c r="AE32" s="2149"/>
      <c r="AF32" s="2150"/>
      <c r="AG32" s="1702"/>
      <c r="AH32" s="1703"/>
      <c r="AI32" s="1702"/>
      <c r="AJ32" s="1703"/>
      <c r="AK32" s="1702"/>
      <c r="AL32" s="1703"/>
      <c r="AM32" s="2148"/>
      <c r="AN32" s="2149"/>
      <c r="AO32" s="2150"/>
      <c r="AP32" s="1698"/>
      <c r="AQ32" s="1699"/>
      <c r="AR32" s="1698"/>
      <c r="AS32" s="1699"/>
      <c r="AT32" s="1698"/>
      <c r="AU32" s="1797"/>
      <c r="AV32" s="1794"/>
      <c r="AW32" s="1795"/>
      <c r="AX32" s="1797"/>
      <c r="AY32" s="1833"/>
      <c r="AZ32" s="2031">
        <f t="shared" si="9"/>
        <v>0</v>
      </c>
      <c r="BA32" s="1794">
        <f t="shared" si="57"/>
        <v>187300</v>
      </c>
      <c r="BB32" s="1798">
        <f t="shared" si="53"/>
        <v>175480</v>
      </c>
      <c r="BC32" s="1798">
        <f>E32-BB32</f>
        <v>11820</v>
      </c>
      <c r="BD32" s="2050"/>
      <c r="BE32" s="2047"/>
    </row>
    <row r="33" spans="1:77" ht="37.5" customHeight="1" x14ac:dyDescent="0.35">
      <c r="A33" s="1653"/>
      <c r="B33" s="3348" t="s">
        <v>681</v>
      </c>
      <c r="C33" s="3348"/>
      <c r="D33" s="3349"/>
      <c r="E33" s="1860">
        <v>13256800</v>
      </c>
      <c r="F33" s="1843">
        <f t="shared" si="58"/>
        <v>13256800</v>
      </c>
      <c r="G33" s="1884"/>
      <c r="H33" s="2151">
        <f t="shared" si="59"/>
        <v>13256800</v>
      </c>
      <c r="I33" s="1926"/>
      <c r="J33" s="2151"/>
      <c r="K33" s="2151"/>
      <c r="L33" s="2042"/>
      <c r="M33" s="2151"/>
      <c r="N33" s="2151"/>
      <c r="O33" s="1702"/>
      <c r="P33" s="1703">
        <f>'[14]16.โครงการรายเดือน'!$B$20</f>
        <v>0</v>
      </c>
      <c r="Q33" s="1702"/>
      <c r="R33" s="1703">
        <f>'[14]16.โครงการรายเดือน'!$C$20</f>
        <v>0</v>
      </c>
      <c r="S33" s="1702"/>
      <c r="T33" s="1703">
        <f>'[14]16.โครงการรายเดือน'!$D$20</f>
        <v>0</v>
      </c>
      <c r="U33" s="1726">
        <f>SUM(O33+Q33+S33)</f>
        <v>0</v>
      </c>
      <c r="V33" s="1730">
        <f t="shared" si="19"/>
        <v>0</v>
      </c>
      <c r="W33" s="1697">
        <f t="shared" si="20"/>
        <v>0</v>
      </c>
      <c r="X33" s="1702"/>
      <c r="Y33" s="1703">
        <f>'[14]16.โครงการรายเดือน'!$E$20</f>
        <v>0</v>
      </c>
      <c r="Z33" s="1702"/>
      <c r="AA33" s="1703">
        <f>'[14]16.โครงการรายเดือน'!$F$20</f>
        <v>0</v>
      </c>
      <c r="AB33" s="1702">
        <v>13256800</v>
      </c>
      <c r="AC33" s="1703">
        <v>0</v>
      </c>
      <c r="AD33" s="1726">
        <f t="shared" si="21"/>
        <v>13256800</v>
      </c>
      <c r="AE33" s="1730">
        <f t="shared" si="5"/>
        <v>0</v>
      </c>
      <c r="AF33" s="1697">
        <f t="shared" si="6"/>
        <v>13256800</v>
      </c>
      <c r="AG33" s="1702"/>
      <c r="AH33" s="1703">
        <f>'[14]16.โครงการรายเดือน'!$H$20</f>
        <v>0</v>
      </c>
      <c r="AI33" s="1702"/>
      <c r="AJ33" s="1703">
        <f>'[14]16.โครงการรายเดือน'!$I$20</f>
        <v>0</v>
      </c>
      <c r="AK33" s="1702"/>
      <c r="AL33" s="1703">
        <f>'[14]16.โครงการรายเดือน'!$J$20</f>
        <v>0</v>
      </c>
      <c r="AM33" s="1726">
        <f t="shared" ref="AM33:AM63" si="61">SUM(AG33+AI33+AK33)</f>
        <v>0</v>
      </c>
      <c r="AN33" s="1730">
        <f t="shared" si="31"/>
        <v>0</v>
      </c>
      <c r="AO33" s="1697">
        <f t="shared" si="7"/>
        <v>0</v>
      </c>
      <c r="AP33" s="1698"/>
      <c r="AQ33" s="1699">
        <f>'[14]16.โครงการรายเดือน'!$K$20</f>
        <v>0</v>
      </c>
      <c r="AR33" s="1698"/>
      <c r="AS33" s="1699">
        <f>'[14]16.โครงการรายเดือน'!$L$20</f>
        <v>10788565</v>
      </c>
      <c r="AT33" s="1698"/>
      <c r="AU33" s="1699">
        <f>'[14]16.โครงการรายเดือน'!$M$20</f>
        <v>0</v>
      </c>
      <c r="AV33" s="1725">
        <f t="shared" ref="AV33:AV63" si="62">SUM(AP33+AR33+AT33)</f>
        <v>0</v>
      </c>
      <c r="AW33" s="1729">
        <f t="shared" si="32"/>
        <v>10788565</v>
      </c>
      <c r="AX33" s="1696">
        <f t="shared" si="8"/>
        <v>-10788565</v>
      </c>
      <c r="AY33" s="1829"/>
      <c r="AZ33" s="2031">
        <f t="shared" si="9"/>
        <v>0</v>
      </c>
      <c r="BA33" s="1725">
        <f t="shared" si="57"/>
        <v>13256800</v>
      </c>
      <c r="BB33" s="1706">
        <f t="shared" si="53"/>
        <v>10788565</v>
      </c>
      <c r="BC33" s="1706">
        <f>E33-V33-AE33</f>
        <v>13256800</v>
      </c>
      <c r="BD33" s="2051"/>
      <c r="BE33" s="2047"/>
    </row>
    <row r="34" spans="1:77" ht="39" customHeight="1" x14ac:dyDescent="0.35">
      <c r="A34" s="1653"/>
      <c r="B34" s="3353" t="s">
        <v>682</v>
      </c>
      <c r="C34" s="3353"/>
      <c r="D34" s="3354"/>
      <c r="E34" s="1860">
        <v>5859000</v>
      </c>
      <c r="F34" s="1843">
        <f t="shared" si="58"/>
        <v>5859000</v>
      </c>
      <c r="G34" s="1884"/>
      <c r="H34" s="2151">
        <f t="shared" si="59"/>
        <v>5859000</v>
      </c>
      <c r="I34" s="1926"/>
      <c r="J34" s="2151"/>
      <c r="K34" s="2151"/>
      <c r="L34" s="2042"/>
      <c r="M34" s="2151"/>
      <c r="N34" s="2151"/>
      <c r="O34" s="1702">
        <v>0</v>
      </c>
      <c r="P34" s="1703">
        <f>'[14]16.โครงการรายเดือน'!$P$20</f>
        <v>0</v>
      </c>
      <c r="Q34" s="1702">
        <v>0</v>
      </c>
      <c r="R34" s="1703">
        <f>'[14]16.โครงการรายเดือน'!$Q$20</f>
        <v>0</v>
      </c>
      <c r="S34" s="1702">
        <v>585900</v>
      </c>
      <c r="T34" s="1703">
        <f>'[14]16.โครงการรายเดือน'!$R$20</f>
        <v>0</v>
      </c>
      <c r="U34" s="1726">
        <f t="shared" ref="U34:U63" si="63">SUM(O34+Q34+S34)</f>
        <v>585900</v>
      </c>
      <c r="V34" s="1730">
        <f t="shared" si="19"/>
        <v>0</v>
      </c>
      <c r="W34" s="1697">
        <f t="shared" si="20"/>
        <v>585900</v>
      </c>
      <c r="X34" s="1702">
        <v>0</v>
      </c>
      <c r="Y34" s="1703">
        <f>'[14]16.โครงการรายเดือน'!$S$20</f>
        <v>0</v>
      </c>
      <c r="Z34" s="1702">
        <v>0</v>
      </c>
      <c r="AA34" s="1703">
        <f>'[14]16.โครงการรายเดือน'!$T$20</f>
        <v>0</v>
      </c>
      <c r="AB34" s="1702">
        <v>1757700</v>
      </c>
      <c r="AC34" s="1703">
        <f>'[14]16.โครงการรายเดือน'!$U$20</f>
        <v>0</v>
      </c>
      <c r="AD34" s="1726">
        <f t="shared" si="21"/>
        <v>1757700</v>
      </c>
      <c r="AE34" s="1730">
        <f t="shared" si="5"/>
        <v>0</v>
      </c>
      <c r="AF34" s="1697">
        <f t="shared" si="6"/>
        <v>1757700</v>
      </c>
      <c r="AG34" s="1702">
        <v>0</v>
      </c>
      <c r="AH34" s="1703">
        <f>'[14]16.โครงการรายเดือน'!$V$20</f>
        <v>0</v>
      </c>
      <c r="AI34" s="1702">
        <v>0</v>
      </c>
      <c r="AJ34" s="1703">
        <f>'[14]16.โครงการรายเดือน'!$W$20</f>
        <v>200222.2</v>
      </c>
      <c r="AK34" s="1702">
        <v>1757700</v>
      </c>
      <c r="AL34" s="1703">
        <f>'[14]16.โครงการรายเดือน'!$X$20</f>
        <v>0</v>
      </c>
      <c r="AM34" s="1726">
        <f t="shared" si="61"/>
        <v>1757700</v>
      </c>
      <c r="AN34" s="1730">
        <f t="shared" si="31"/>
        <v>200222.2</v>
      </c>
      <c r="AO34" s="1697">
        <f t="shared" si="7"/>
        <v>1557477.8</v>
      </c>
      <c r="AP34" s="1698">
        <v>0</v>
      </c>
      <c r="AQ34" s="1699">
        <f>'[14]16.โครงการรายเดือน'!$Y$20</f>
        <v>400444.4</v>
      </c>
      <c r="AR34" s="1698">
        <v>0</v>
      </c>
      <c r="AS34" s="1699">
        <f>'[14]16.โครงการรายเดือน'!$Z$20</f>
        <v>0</v>
      </c>
      <c r="AT34" s="1698">
        <v>1757700</v>
      </c>
      <c r="AU34" s="1699">
        <f>'[14]16.โครงการรายเดือน'!$AA$20</f>
        <v>800888.8</v>
      </c>
      <c r="AV34" s="1725">
        <f t="shared" si="62"/>
        <v>1757700</v>
      </c>
      <c r="AW34" s="1729">
        <f t="shared" si="32"/>
        <v>1201333.2000000002</v>
      </c>
      <c r="AX34" s="1696">
        <f t="shared" si="8"/>
        <v>556366.79999999981</v>
      </c>
      <c r="AY34" s="1829"/>
      <c r="AZ34" s="2031">
        <f t="shared" si="9"/>
        <v>-200222.2</v>
      </c>
      <c r="BA34" s="1725">
        <f t="shared" si="57"/>
        <v>5859000</v>
      </c>
      <c r="BB34" s="1706">
        <f t="shared" si="53"/>
        <v>1401555.4000000001</v>
      </c>
      <c r="BC34" s="1706">
        <f>E34-V34-AE34-AN34-AW34</f>
        <v>4457444.5999999996</v>
      </c>
      <c r="BD34" s="2051"/>
      <c r="BE34" s="2047"/>
    </row>
    <row r="35" spans="1:77" ht="19.5" customHeight="1" x14ac:dyDescent="0.35">
      <c r="A35" s="3357" t="s">
        <v>614</v>
      </c>
      <c r="B35" s="3353"/>
      <c r="C35" s="3353"/>
      <c r="D35" s="3354"/>
      <c r="E35" s="1860">
        <f>E36+E37</f>
        <v>17203100</v>
      </c>
      <c r="F35" s="1843">
        <f t="shared" si="58"/>
        <v>17203100</v>
      </c>
      <c r="G35" s="1884"/>
      <c r="H35" s="2151">
        <f t="shared" si="59"/>
        <v>17203100</v>
      </c>
      <c r="I35" s="1926"/>
      <c r="J35" s="2151"/>
      <c r="K35" s="2151"/>
      <c r="L35" s="2042"/>
      <c r="M35" s="2151"/>
      <c r="N35" s="2151"/>
      <c r="O35" s="1702"/>
      <c r="P35" s="1703"/>
      <c r="Q35" s="1702"/>
      <c r="R35" s="1703"/>
      <c r="S35" s="1702"/>
      <c r="T35" s="1703"/>
      <c r="U35" s="1726">
        <f t="shared" si="63"/>
        <v>0</v>
      </c>
      <c r="V35" s="1730">
        <f t="shared" si="19"/>
        <v>0</v>
      </c>
      <c r="W35" s="1697">
        <f t="shared" si="20"/>
        <v>0</v>
      </c>
      <c r="X35" s="1702"/>
      <c r="Y35" s="1703"/>
      <c r="Z35" s="1702"/>
      <c r="AA35" s="1703"/>
      <c r="AB35" s="1702"/>
      <c r="AC35" s="1703"/>
      <c r="AD35" s="1726">
        <f t="shared" si="21"/>
        <v>0</v>
      </c>
      <c r="AE35" s="1730">
        <f t="shared" si="5"/>
        <v>0</v>
      </c>
      <c r="AF35" s="1697">
        <f t="shared" si="6"/>
        <v>0</v>
      </c>
      <c r="AG35" s="1702"/>
      <c r="AH35" s="1703"/>
      <c r="AI35" s="1702"/>
      <c r="AJ35" s="1703"/>
      <c r="AK35" s="1702"/>
      <c r="AL35" s="1703"/>
      <c r="AM35" s="1726">
        <f t="shared" si="61"/>
        <v>0</v>
      </c>
      <c r="AN35" s="1730">
        <f t="shared" si="31"/>
        <v>0</v>
      </c>
      <c r="AO35" s="1697">
        <f t="shared" si="7"/>
        <v>0</v>
      </c>
      <c r="AP35" s="1698"/>
      <c r="AQ35" s="1699"/>
      <c r="AR35" s="1698"/>
      <c r="AS35" s="1699"/>
      <c r="AT35" s="1698"/>
      <c r="AU35" s="1699"/>
      <c r="AV35" s="1725">
        <f t="shared" si="62"/>
        <v>0</v>
      </c>
      <c r="AW35" s="1729">
        <f t="shared" si="32"/>
        <v>0</v>
      </c>
      <c r="AX35" s="1696">
        <f t="shared" si="8"/>
        <v>0</v>
      </c>
      <c r="AY35" s="1829"/>
      <c r="AZ35" s="2031">
        <f t="shared" si="9"/>
        <v>0</v>
      </c>
      <c r="BA35" s="1725">
        <f t="shared" si="57"/>
        <v>0</v>
      </c>
      <c r="BB35" s="1706">
        <f t="shared" si="53"/>
        <v>0</v>
      </c>
      <c r="BC35" s="1706">
        <f>E35-V35-AE35</f>
        <v>17203100</v>
      </c>
      <c r="BD35" s="2051"/>
      <c r="BE35" s="2047"/>
    </row>
    <row r="36" spans="1:77" s="366" customFormat="1" ht="23.25" customHeight="1" x14ac:dyDescent="0.35">
      <c r="A36" s="1653"/>
      <c r="B36" s="3327" t="s">
        <v>683</v>
      </c>
      <c r="C36" s="3327"/>
      <c r="D36" s="3328"/>
      <c r="E36" s="1860">
        <v>14053100</v>
      </c>
      <c r="F36" s="1843">
        <f t="shared" si="58"/>
        <v>14053100</v>
      </c>
      <c r="G36" s="1884"/>
      <c r="H36" s="2151">
        <f t="shared" si="59"/>
        <v>14053100</v>
      </c>
      <c r="I36" s="1926"/>
      <c r="J36" s="2151"/>
      <c r="K36" s="2151"/>
      <c r="L36" s="2042"/>
      <c r="M36" s="2151"/>
      <c r="N36" s="2151"/>
      <c r="O36" s="1702"/>
      <c r="P36" s="1703"/>
      <c r="Q36" s="1702"/>
      <c r="R36" s="1703">
        <f>'[14]16.โครงการรายเดือน'!$CW$20</f>
        <v>0</v>
      </c>
      <c r="S36" s="1702"/>
      <c r="T36" s="1703">
        <f>'[14]16.โครงการรายเดือน'!$CX$20</f>
        <v>0</v>
      </c>
      <c r="U36" s="1726">
        <f t="shared" si="63"/>
        <v>0</v>
      </c>
      <c r="V36" s="1730">
        <f t="shared" si="19"/>
        <v>0</v>
      </c>
      <c r="W36" s="1697">
        <f t="shared" si="20"/>
        <v>0</v>
      </c>
      <c r="X36" s="1702"/>
      <c r="Y36" s="1703">
        <f>'[14]16.โครงการรายเดือน'!$CY$20</f>
        <v>0</v>
      </c>
      <c r="Z36" s="1702"/>
      <c r="AA36" s="1703">
        <f>'[14]16.โครงการรายเดือน'!$CZ$20</f>
        <v>0</v>
      </c>
      <c r="AB36" s="1702">
        <f>'[19]ยุทธฯ Cyber'!$I$14</f>
        <v>5621240</v>
      </c>
      <c r="AC36" s="1703">
        <f>'[14]สรุป สทส. รายเดือน'!$T$9</f>
        <v>2053200</v>
      </c>
      <c r="AD36" s="1726">
        <f t="shared" si="21"/>
        <v>5621240</v>
      </c>
      <c r="AE36" s="1730">
        <f t="shared" si="5"/>
        <v>2053200</v>
      </c>
      <c r="AF36" s="1697">
        <f t="shared" si="6"/>
        <v>3568040</v>
      </c>
      <c r="AG36" s="1702"/>
      <c r="AH36" s="1703">
        <f>'[14]16.โครงการรายเดือน'!$DB$20</f>
        <v>8897200</v>
      </c>
      <c r="AI36" s="1702"/>
      <c r="AJ36" s="1703">
        <f>'[14]16.โครงการรายเดือน'!$DC$20</f>
        <v>0</v>
      </c>
      <c r="AK36" s="1702">
        <f>'[19]ยุทธฯ Cyber'!$L$15</f>
        <v>8431860</v>
      </c>
      <c r="AL36" s="1703">
        <f>'[14]16.โครงการรายเดือน'!$DD$20</f>
        <v>0</v>
      </c>
      <c r="AM36" s="1726">
        <f t="shared" si="61"/>
        <v>8431860</v>
      </c>
      <c r="AN36" s="1730">
        <f t="shared" si="31"/>
        <v>8897200</v>
      </c>
      <c r="AO36" s="1697">
        <f t="shared" si="7"/>
        <v>-465340</v>
      </c>
      <c r="AP36" s="1698"/>
      <c r="AQ36" s="1699">
        <f>'[14]16.โครงการรายเดือน'!$DE$20</f>
        <v>2737600</v>
      </c>
      <c r="AR36" s="1698"/>
      <c r="AS36" s="1699">
        <f>'[14]16.โครงการรายเดือน'!$DF$20</f>
        <v>0</v>
      </c>
      <c r="AT36" s="1698"/>
      <c r="AU36" s="1699">
        <f>'[14]16.โครงการรายเดือน'!$DG$20</f>
        <v>0</v>
      </c>
      <c r="AV36" s="1725">
        <f t="shared" si="62"/>
        <v>0</v>
      </c>
      <c r="AW36" s="1729">
        <f t="shared" si="32"/>
        <v>2737600</v>
      </c>
      <c r="AX36" s="1696">
        <f t="shared" si="8"/>
        <v>-2737600</v>
      </c>
      <c r="AY36" s="1830">
        <f>H36-V36-AE36</f>
        <v>11999900</v>
      </c>
      <c r="AZ36" s="2031">
        <f>K36-AN36+AY36</f>
        <v>3102700</v>
      </c>
      <c r="BA36" s="1725">
        <f t="shared" si="57"/>
        <v>14053100</v>
      </c>
      <c r="BB36" s="1706">
        <f t="shared" si="53"/>
        <v>13688000</v>
      </c>
      <c r="BC36" s="1706">
        <f>E36-V36-AE36-AN36-AW36</f>
        <v>365100</v>
      </c>
      <c r="BD36" s="2051"/>
      <c r="BE36" s="2047"/>
      <c r="BF36" s="395"/>
    </row>
    <row r="37" spans="1:77" ht="39.75" customHeight="1" x14ac:dyDescent="0.35">
      <c r="A37" s="1664"/>
      <c r="B37" s="3325" t="s">
        <v>684</v>
      </c>
      <c r="C37" s="3325"/>
      <c r="D37" s="3326"/>
      <c r="E37" s="1860">
        <f>SUM(E38:E41)-702600</f>
        <v>3150000</v>
      </c>
      <c r="F37" s="1843">
        <f t="shared" si="58"/>
        <v>3150000</v>
      </c>
      <c r="G37" s="1884"/>
      <c r="H37" s="1873"/>
      <c r="I37" s="1926">
        <v>0</v>
      </c>
      <c r="J37" s="1873"/>
      <c r="K37" s="1873"/>
      <c r="L37" s="2042"/>
      <c r="M37" s="1873"/>
      <c r="N37" s="1873"/>
      <c r="O37" s="1702"/>
      <c r="P37" s="1703">
        <f>'[13]16.โครงการ รายเดือน'!$DY$20</f>
        <v>0</v>
      </c>
      <c r="Q37" s="1702"/>
      <c r="R37" s="1703">
        <f>'[13]16.โครงการ รายเดือน'!$EA$20</f>
        <v>0</v>
      </c>
      <c r="S37" s="1702"/>
      <c r="T37" s="1703">
        <f>'[13]16.โครงการ รายเดือน'!$EC$20</f>
        <v>0</v>
      </c>
      <c r="U37" s="1726">
        <f t="shared" si="63"/>
        <v>0</v>
      </c>
      <c r="V37" s="1730">
        <f t="shared" si="19"/>
        <v>0</v>
      </c>
      <c r="W37" s="1697">
        <f t="shared" si="20"/>
        <v>0</v>
      </c>
      <c r="X37" s="1702"/>
      <c r="Y37" s="1703">
        <f>'[13]16.โครงการ รายเดือน'!$EE$20</f>
        <v>0</v>
      </c>
      <c r="Z37" s="1702">
        <f>'[19]ยุทธฯ ประยุกต์ใช้เทคโนฯ(เดิม)'!$H$14</f>
        <v>1520000</v>
      </c>
      <c r="AA37" s="1703">
        <f>'[13]16.โครงการ รายเดือน'!$EG$20</f>
        <v>0</v>
      </c>
      <c r="AB37" s="1702">
        <f>'[19]ยุทธฯ ประยุกต์ใช้เทคโนฯ(เดิม)'!$I$15+'[19]ยุทธฯ ประยุกต์ใช้เทคโนฯ(เดิม)'!$I$17</f>
        <v>1140000</v>
      </c>
      <c r="AC37" s="1703">
        <f>'[13]16.โครงการ รายเดือน'!$EI$20</f>
        <v>0</v>
      </c>
      <c r="AD37" s="1726">
        <f t="shared" si="21"/>
        <v>2660000</v>
      </c>
      <c r="AE37" s="1730">
        <f t="shared" si="5"/>
        <v>0</v>
      </c>
      <c r="AF37" s="1697">
        <f t="shared" si="6"/>
        <v>2660000</v>
      </c>
      <c r="AG37" s="1702"/>
      <c r="AH37" s="1703">
        <f>'[13]16.โครงการ รายเดือน'!$EK$20</f>
        <v>0</v>
      </c>
      <c r="AI37" s="1702">
        <f>'[19]ยุทธฯ ประยุกต์ใช้เทคโนฯ(เดิม)'!$K$16</f>
        <v>490000</v>
      </c>
      <c r="AJ37" s="1703">
        <f>'[13]16.โครงการ รายเดือน'!$EM$20</f>
        <v>246500</v>
      </c>
      <c r="AK37" s="1702"/>
      <c r="AL37" s="1703">
        <f>'[13]16.โครงการ รายเดือน'!$EO$20</f>
        <v>0</v>
      </c>
      <c r="AM37" s="1726">
        <f t="shared" si="61"/>
        <v>490000</v>
      </c>
      <c r="AN37" s="1730">
        <f t="shared" si="31"/>
        <v>246500</v>
      </c>
      <c r="AO37" s="1697">
        <f t="shared" si="7"/>
        <v>243500</v>
      </c>
      <c r="AP37" s="1702"/>
      <c r="AQ37" s="1703">
        <f>'[13]16.โครงการ รายเดือน'!$EQ$20</f>
        <v>0</v>
      </c>
      <c r="AR37" s="1702"/>
      <c r="AS37" s="1703">
        <f>'[13]16.โครงการ รายเดือน'!$ES$20</f>
        <v>0</v>
      </c>
      <c r="AT37" s="1702"/>
      <c r="AU37" s="1703">
        <f>'[13]16.โครงการ รายเดือน'!$EU$20</f>
        <v>0</v>
      </c>
      <c r="AV37" s="1725">
        <f t="shared" si="62"/>
        <v>0</v>
      </c>
      <c r="AW37" s="1729">
        <f t="shared" si="32"/>
        <v>0</v>
      </c>
      <c r="AX37" s="1696">
        <f t="shared" si="8"/>
        <v>0</v>
      </c>
      <c r="AY37" s="1829"/>
      <c r="AZ37" s="2031">
        <f t="shared" si="9"/>
        <v>-246500</v>
      </c>
      <c r="BA37" s="1725">
        <f t="shared" si="57"/>
        <v>3150000</v>
      </c>
      <c r="BB37" s="1706">
        <f t="shared" si="53"/>
        <v>246500</v>
      </c>
      <c r="BC37" s="1706">
        <f>E37-V37-AE37-AN37-AW37</f>
        <v>2903500</v>
      </c>
      <c r="BD37" s="2051"/>
      <c r="BE37" s="2047"/>
      <c r="BF37" s="416">
        <f>BA37-E37</f>
        <v>0</v>
      </c>
    </row>
    <row r="38" spans="1:77" ht="44.25" hidden="1" customHeight="1" x14ac:dyDescent="0.35">
      <c r="A38" s="1666"/>
      <c r="B38" s="1667"/>
      <c r="C38" s="3355" t="s">
        <v>630</v>
      </c>
      <c r="D38" s="3356"/>
      <c r="E38" s="2152">
        <v>2900000</v>
      </c>
      <c r="F38" s="2153"/>
      <c r="G38" s="1884"/>
      <c r="H38" s="2154"/>
      <c r="I38" s="1926"/>
      <c r="J38" s="2154"/>
      <c r="K38" s="2154"/>
      <c r="L38" s="2042"/>
      <c r="M38" s="2154"/>
      <c r="N38" s="2154"/>
      <c r="O38" s="1702"/>
      <c r="P38" s="1703"/>
      <c r="Q38" s="1702"/>
      <c r="R38" s="1703"/>
      <c r="S38" s="1702"/>
      <c r="T38" s="1703"/>
      <c r="U38" s="1726">
        <f t="shared" si="63"/>
        <v>0</v>
      </c>
      <c r="V38" s="1730">
        <f t="shared" si="19"/>
        <v>0</v>
      </c>
      <c r="W38" s="1697">
        <f t="shared" si="20"/>
        <v>0</v>
      </c>
      <c r="X38" s="1702"/>
      <c r="Y38" s="1703"/>
      <c r="Z38" s="1702"/>
      <c r="AA38" s="1703"/>
      <c r="AB38" s="1702"/>
      <c r="AC38" s="1703"/>
      <c r="AD38" s="1726">
        <f t="shared" si="21"/>
        <v>0</v>
      </c>
      <c r="AE38" s="1730">
        <f t="shared" si="5"/>
        <v>0</v>
      </c>
      <c r="AF38" s="1697">
        <f t="shared" si="6"/>
        <v>0</v>
      </c>
      <c r="AG38" s="1702"/>
      <c r="AH38" s="1703"/>
      <c r="AI38" s="1702"/>
      <c r="AJ38" s="1703"/>
      <c r="AK38" s="1702"/>
      <c r="AL38" s="1703"/>
      <c r="AM38" s="1726">
        <f t="shared" si="61"/>
        <v>0</v>
      </c>
      <c r="AN38" s="1730">
        <f t="shared" si="31"/>
        <v>0</v>
      </c>
      <c r="AO38" s="1697">
        <f t="shared" si="7"/>
        <v>0</v>
      </c>
      <c r="AP38" s="1698"/>
      <c r="AQ38" s="1699"/>
      <c r="AR38" s="1698"/>
      <c r="AS38" s="1699"/>
      <c r="AT38" s="1698"/>
      <c r="AU38" s="1699"/>
      <c r="AV38" s="1725">
        <f t="shared" si="62"/>
        <v>0</v>
      </c>
      <c r="AW38" s="1729">
        <f t="shared" si="32"/>
        <v>0</v>
      </c>
      <c r="AX38" s="1696">
        <f t="shared" si="8"/>
        <v>0</v>
      </c>
      <c r="AY38" s="1829"/>
      <c r="AZ38" s="2031">
        <f t="shared" si="9"/>
        <v>0</v>
      </c>
      <c r="BA38" s="1725">
        <f t="shared" si="57"/>
        <v>0</v>
      </c>
      <c r="BB38" s="1707">
        <f t="shared" si="53"/>
        <v>0</v>
      </c>
      <c r="BC38" s="1708">
        <f>E38-V38-AE38</f>
        <v>2900000</v>
      </c>
      <c r="BD38" s="2052"/>
      <c r="BE38" s="2047"/>
    </row>
    <row r="39" spans="1:77" ht="44.25" hidden="1" customHeight="1" x14ac:dyDescent="0.35">
      <c r="A39" s="1666"/>
      <c r="B39" s="1667"/>
      <c r="C39" s="3355" t="s">
        <v>631</v>
      </c>
      <c r="D39" s="3356"/>
      <c r="E39" s="2152">
        <v>250000</v>
      </c>
      <c r="F39" s="2153"/>
      <c r="G39" s="1884"/>
      <c r="H39" s="2154"/>
      <c r="I39" s="1926"/>
      <c r="J39" s="2154"/>
      <c r="K39" s="2154"/>
      <c r="L39" s="2042"/>
      <c r="M39" s="2154"/>
      <c r="N39" s="2154"/>
      <c r="O39" s="1702"/>
      <c r="P39" s="1703"/>
      <c r="Q39" s="1702"/>
      <c r="R39" s="1703"/>
      <c r="S39" s="1702"/>
      <c r="T39" s="1703"/>
      <c r="U39" s="1726">
        <f t="shared" si="63"/>
        <v>0</v>
      </c>
      <c r="V39" s="1730">
        <f t="shared" si="19"/>
        <v>0</v>
      </c>
      <c r="W39" s="1697">
        <f t="shared" si="20"/>
        <v>0</v>
      </c>
      <c r="X39" s="1702"/>
      <c r="Y39" s="1703"/>
      <c r="Z39" s="1702"/>
      <c r="AA39" s="1703"/>
      <c r="AB39" s="1702"/>
      <c r="AC39" s="1703"/>
      <c r="AD39" s="1726">
        <f t="shared" si="21"/>
        <v>0</v>
      </c>
      <c r="AE39" s="1730">
        <f t="shared" si="5"/>
        <v>0</v>
      </c>
      <c r="AF39" s="1697">
        <f t="shared" si="6"/>
        <v>0</v>
      </c>
      <c r="AG39" s="1702"/>
      <c r="AH39" s="1703"/>
      <c r="AI39" s="1702"/>
      <c r="AJ39" s="1703"/>
      <c r="AK39" s="1702"/>
      <c r="AL39" s="1703"/>
      <c r="AM39" s="1726">
        <f t="shared" si="61"/>
        <v>0</v>
      </c>
      <c r="AN39" s="1730">
        <f t="shared" si="31"/>
        <v>0</v>
      </c>
      <c r="AO39" s="1697">
        <f t="shared" si="7"/>
        <v>0</v>
      </c>
      <c r="AP39" s="1698"/>
      <c r="AQ39" s="1699"/>
      <c r="AR39" s="1698"/>
      <c r="AS39" s="1699"/>
      <c r="AT39" s="1698"/>
      <c r="AU39" s="1699"/>
      <c r="AV39" s="1725">
        <f t="shared" si="62"/>
        <v>0</v>
      </c>
      <c r="AW39" s="1729">
        <f t="shared" si="32"/>
        <v>0</v>
      </c>
      <c r="AX39" s="1696">
        <f t="shared" si="8"/>
        <v>0</v>
      </c>
      <c r="AY39" s="1829"/>
      <c r="AZ39" s="2031">
        <f t="shared" si="9"/>
        <v>0</v>
      </c>
      <c r="BA39" s="1725">
        <f t="shared" si="57"/>
        <v>0</v>
      </c>
      <c r="BB39" s="1707">
        <f t="shared" si="53"/>
        <v>0</v>
      </c>
      <c r="BC39" s="1708">
        <f>E39-V39-AE39</f>
        <v>250000</v>
      </c>
      <c r="BD39" s="2052"/>
      <c r="BE39" s="2047"/>
    </row>
    <row r="40" spans="1:77" ht="44.25" hidden="1" customHeight="1" x14ac:dyDescent="0.35">
      <c r="A40" s="1666"/>
      <c r="B40" s="1667"/>
      <c r="C40" s="3355" t="s">
        <v>632</v>
      </c>
      <c r="D40" s="3356"/>
      <c r="E40" s="2152">
        <v>471300</v>
      </c>
      <c r="F40" s="2153"/>
      <c r="G40" s="1884"/>
      <c r="H40" s="2154"/>
      <c r="I40" s="1926"/>
      <c r="J40" s="2154"/>
      <c r="K40" s="2154"/>
      <c r="L40" s="2042"/>
      <c r="M40" s="2154"/>
      <c r="N40" s="2154"/>
      <c r="O40" s="1702"/>
      <c r="P40" s="1703"/>
      <c r="Q40" s="1702"/>
      <c r="R40" s="1703"/>
      <c r="S40" s="1702"/>
      <c r="T40" s="1703"/>
      <c r="U40" s="1726">
        <f t="shared" si="63"/>
        <v>0</v>
      </c>
      <c r="V40" s="1730">
        <f t="shared" si="19"/>
        <v>0</v>
      </c>
      <c r="W40" s="1697">
        <f t="shared" si="20"/>
        <v>0</v>
      </c>
      <c r="X40" s="1702"/>
      <c r="Y40" s="1703"/>
      <c r="Z40" s="1702"/>
      <c r="AA40" s="1703"/>
      <c r="AB40" s="1702"/>
      <c r="AC40" s="1703"/>
      <c r="AD40" s="1726">
        <f t="shared" si="21"/>
        <v>0</v>
      </c>
      <c r="AE40" s="1730">
        <f t="shared" si="5"/>
        <v>0</v>
      </c>
      <c r="AF40" s="1697">
        <f t="shared" si="6"/>
        <v>0</v>
      </c>
      <c r="AG40" s="1702"/>
      <c r="AH40" s="1703"/>
      <c r="AI40" s="1702"/>
      <c r="AJ40" s="1703"/>
      <c r="AK40" s="1702"/>
      <c r="AL40" s="1703"/>
      <c r="AM40" s="1726">
        <f t="shared" si="61"/>
        <v>0</v>
      </c>
      <c r="AN40" s="1730">
        <f t="shared" si="31"/>
        <v>0</v>
      </c>
      <c r="AO40" s="1697">
        <f t="shared" si="7"/>
        <v>0</v>
      </c>
      <c r="AP40" s="1698"/>
      <c r="AQ40" s="1699"/>
      <c r="AR40" s="1698"/>
      <c r="AS40" s="1699"/>
      <c r="AT40" s="1698"/>
      <c r="AU40" s="1699"/>
      <c r="AV40" s="1725">
        <f t="shared" si="62"/>
        <v>0</v>
      </c>
      <c r="AW40" s="1729">
        <f t="shared" si="32"/>
        <v>0</v>
      </c>
      <c r="AX40" s="1696">
        <f t="shared" si="8"/>
        <v>0</v>
      </c>
      <c r="AY40" s="1829"/>
      <c r="AZ40" s="2031">
        <f t="shared" si="9"/>
        <v>0</v>
      </c>
      <c r="BA40" s="1725">
        <f t="shared" si="57"/>
        <v>0</v>
      </c>
      <c r="BB40" s="1707">
        <f t="shared" si="53"/>
        <v>0</v>
      </c>
      <c r="BC40" s="1708">
        <f>E40-V40-AE40</f>
        <v>471300</v>
      </c>
      <c r="BD40" s="2052"/>
      <c r="BE40" s="2047"/>
    </row>
    <row r="41" spans="1:77" ht="44.25" hidden="1" customHeight="1" x14ac:dyDescent="0.35">
      <c r="A41" s="1666"/>
      <c r="B41" s="1667"/>
      <c r="C41" s="3355" t="s">
        <v>633</v>
      </c>
      <c r="D41" s="3356"/>
      <c r="E41" s="2152">
        <v>231300</v>
      </c>
      <c r="F41" s="2153"/>
      <c r="G41" s="1884"/>
      <c r="H41" s="2154"/>
      <c r="I41" s="1926"/>
      <c r="J41" s="2154"/>
      <c r="K41" s="2154"/>
      <c r="L41" s="2042"/>
      <c r="M41" s="2154"/>
      <c r="N41" s="2154"/>
      <c r="O41" s="1702"/>
      <c r="P41" s="1703"/>
      <c r="Q41" s="1702"/>
      <c r="R41" s="1703"/>
      <c r="S41" s="1702"/>
      <c r="T41" s="1703"/>
      <c r="U41" s="1726">
        <f t="shared" si="63"/>
        <v>0</v>
      </c>
      <c r="V41" s="1730">
        <f t="shared" si="19"/>
        <v>0</v>
      </c>
      <c r="W41" s="1697">
        <f t="shared" si="20"/>
        <v>0</v>
      </c>
      <c r="X41" s="1702"/>
      <c r="Y41" s="1703"/>
      <c r="Z41" s="1702"/>
      <c r="AA41" s="1703"/>
      <c r="AB41" s="1702"/>
      <c r="AC41" s="1703"/>
      <c r="AD41" s="1726">
        <f t="shared" si="21"/>
        <v>0</v>
      </c>
      <c r="AE41" s="1730">
        <f t="shared" si="5"/>
        <v>0</v>
      </c>
      <c r="AF41" s="1697">
        <f t="shared" si="6"/>
        <v>0</v>
      </c>
      <c r="AG41" s="1702"/>
      <c r="AH41" s="1703"/>
      <c r="AI41" s="1702"/>
      <c r="AJ41" s="1703"/>
      <c r="AK41" s="1702"/>
      <c r="AL41" s="1703"/>
      <c r="AM41" s="1726">
        <f t="shared" si="61"/>
        <v>0</v>
      </c>
      <c r="AN41" s="1730">
        <f t="shared" si="31"/>
        <v>0</v>
      </c>
      <c r="AO41" s="1697">
        <f t="shared" si="7"/>
        <v>0</v>
      </c>
      <c r="AP41" s="1698"/>
      <c r="AQ41" s="1699"/>
      <c r="AR41" s="1698"/>
      <c r="AS41" s="1699"/>
      <c r="AT41" s="1698"/>
      <c r="AU41" s="1699"/>
      <c r="AV41" s="1725">
        <f t="shared" si="62"/>
        <v>0</v>
      </c>
      <c r="AW41" s="1729">
        <f t="shared" si="32"/>
        <v>0</v>
      </c>
      <c r="AX41" s="1696">
        <f t="shared" si="8"/>
        <v>0</v>
      </c>
      <c r="AY41" s="1829"/>
      <c r="AZ41" s="2031">
        <f t="shared" si="9"/>
        <v>0</v>
      </c>
      <c r="BA41" s="1725">
        <f t="shared" si="57"/>
        <v>0</v>
      </c>
      <c r="BB41" s="1707">
        <f t="shared" si="53"/>
        <v>0</v>
      </c>
      <c r="BC41" s="1708">
        <f>E41-V41-AE41</f>
        <v>231300</v>
      </c>
      <c r="BD41" s="2052"/>
      <c r="BE41" s="2047"/>
    </row>
    <row r="42" spans="1:77" ht="19.5" customHeight="1" x14ac:dyDescent="0.35">
      <c r="A42" s="1693" t="s">
        <v>634</v>
      </c>
      <c r="B42" s="1694"/>
      <c r="C42" s="1694"/>
      <c r="D42" s="1695"/>
      <c r="E42" s="2155">
        <f>E44++E45+E46+E47+E60</f>
        <v>41664491</v>
      </c>
      <c r="F42" s="2156"/>
      <c r="G42" s="2119">
        <f>G48+G49+G52+G56+G57+G60</f>
        <v>10381224</v>
      </c>
      <c r="H42" s="2157"/>
      <c r="I42" s="2158"/>
      <c r="J42" s="2157"/>
      <c r="K42" s="2157"/>
      <c r="L42" s="2159"/>
      <c r="M42" s="2157"/>
      <c r="N42" s="2157"/>
      <c r="O42" s="2160">
        <f>O44+O46+O48+O49+O52+O56+O57+O60</f>
        <v>668260</v>
      </c>
      <c r="P42" s="2160" t="e">
        <f t="shared" ref="P42:AX42" si="64">P44+P46+P48+P49+P52+P56+P57+P60</f>
        <v>#REF!</v>
      </c>
      <c r="Q42" s="2160">
        <f t="shared" si="64"/>
        <v>667220</v>
      </c>
      <c r="R42" s="2160" t="e">
        <f t="shared" si="64"/>
        <v>#REF!</v>
      </c>
      <c r="S42" s="2160">
        <f t="shared" si="64"/>
        <v>984332</v>
      </c>
      <c r="T42" s="2160" t="e">
        <f t="shared" si="64"/>
        <v>#REF!</v>
      </c>
      <c r="U42" s="2160">
        <f t="shared" ca="1" si="64"/>
        <v>2741630</v>
      </c>
      <c r="V42" s="2160" t="e">
        <f t="shared" si="64"/>
        <v>#REF!</v>
      </c>
      <c r="W42" s="2160">
        <f t="shared" ca="1" si="64"/>
        <v>1094918</v>
      </c>
      <c r="X42" s="2157">
        <f t="shared" si="64"/>
        <v>720870</v>
      </c>
      <c r="Y42" s="2157" t="e">
        <f t="shared" si="64"/>
        <v>#REF!</v>
      </c>
      <c r="Z42" s="2157">
        <f t="shared" si="64"/>
        <v>1089960</v>
      </c>
      <c r="AA42" s="2157" t="e">
        <f t="shared" si="64"/>
        <v>#REF!</v>
      </c>
      <c r="AB42" s="2157">
        <f t="shared" si="64"/>
        <v>510460</v>
      </c>
      <c r="AC42" s="2157" t="e">
        <f t="shared" si="64"/>
        <v>#REF!</v>
      </c>
      <c r="AD42" s="2160">
        <f t="shared" si="64"/>
        <v>2321290</v>
      </c>
      <c r="AE42" s="2160" t="e">
        <f t="shared" si="64"/>
        <v>#REF!</v>
      </c>
      <c r="AF42" s="2160" t="e">
        <f t="shared" si="64"/>
        <v>#REF!</v>
      </c>
      <c r="AG42" s="2157">
        <f t="shared" si="64"/>
        <v>606325</v>
      </c>
      <c r="AH42" s="2157" t="e">
        <f t="shared" si="64"/>
        <v>#REF!</v>
      </c>
      <c r="AI42" s="2157">
        <f t="shared" si="64"/>
        <v>2824536</v>
      </c>
      <c r="AJ42" s="2157" t="e">
        <f t="shared" si="64"/>
        <v>#REF!</v>
      </c>
      <c r="AK42" s="2157">
        <f t="shared" si="64"/>
        <v>701885</v>
      </c>
      <c r="AL42" s="2157" t="e">
        <f t="shared" si="64"/>
        <v>#REF!</v>
      </c>
      <c r="AM42" s="2160">
        <f t="shared" si="64"/>
        <v>4132746</v>
      </c>
      <c r="AN42" s="2160" t="e">
        <f t="shared" si="64"/>
        <v>#REF!</v>
      </c>
      <c r="AO42" s="2160" t="e">
        <f t="shared" si="64"/>
        <v>#REF!</v>
      </c>
      <c r="AP42" s="1904">
        <f t="shared" si="64"/>
        <v>1882198</v>
      </c>
      <c r="AQ42" s="1904" t="e">
        <f t="shared" si="64"/>
        <v>#REF!</v>
      </c>
      <c r="AR42" s="1904">
        <f t="shared" si="64"/>
        <v>1173151</v>
      </c>
      <c r="AS42" s="1904" t="e">
        <f t="shared" si="64"/>
        <v>#REF!</v>
      </c>
      <c r="AT42" s="1904">
        <f t="shared" si="64"/>
        <v>689625</v>
      </c>
      <c r="AU42" s="1904" t="e">
        <f t="shared" si="64"/>
        <v>#REF!</v>
      </c>
      <c r="AV42" s="1898">
        <f t="shared" si="64"/>
        <v>3744974</v>
      </c>
      <c r="AW42" s="1899" t="e">
        <f t="shared" si="64"/>
        <v>#REF!</v>
      </c>
      <c r="AX42" s="1905" t="e">
        <f t="shared" si="64"/>
        <v>#REF!</v>
      </c>
      <c r="AY42" s="1906" t="e">
        <f>G42-V42-AE42</f>
        <v>#REF!</v>
      </c>
      <c r="AZ42" s="2034" t="e">
        <f t="shared" si="9"/>
        <v>#REF!</v>
      </c>
      <c r="BA42" s="1898">
        <f>BA43+BA46+BA48+BA49+BA52+BA56+BA57+BA60</f>
        <v>41554662</v>
      </c>
      <c r="BB42" s="1905" t="e">
        <f t="shared" si="53"/>
        <v>#REF!</v>
      </c>
      <c r="BC42" s="1905" t="e">
        <f>E42-AE42-BB42</f>
        <v>#REF!</v>
      </c>
      <c r="BD42" s="2053"/>
      <c r="BE42" s="2047"/>
    </row>
    <row r="43" spans="1:77" ht="19.5" customHeight="1" x14ac:dyDescent="0.35">
      <c r="A43" s="1693"/>
      <c r="B43" s="1681" t="s">
        <v>709</v>
      </c>
      <c r="C43" s="1681"/>
      <c r="D43" s="1915"/>
      <c r="E43" s="2161">
        <f>SUM(E44:E45)</f>
        <v>8400000</v>
      </c>
      <c r="F43" s="2162">
        <f>SUM(F44:F45)</f>
        <v>4930000</v>
      </c>
      <c r="G43" s="2163"/>
      <c r="H43" s="2164">
        <f>SUM(H44:H45)</f>
        <v>4930000</v>
      </c>
      <c r="I43" s="2165"/>
      <c r="J43" s="2164"/>
      <c r="K43" s="2164"/>
      <c r="L43" s="2166"/>
      <c r="M43" s="2164"/>
      <c r="N43" s="2164"/>
      <c r="O43" s="2164">
        <f t="shared" ref="O43:T43" si="65">SUM(O44:O45)</f>
        <v>661500</v>
      </c>
      <c r="P43" s="2164">
        <f t="shared" si="65"/>
        <v>661500</v>
      </c>
      <c r="Q43" s="2164">
        <f t="shared" si="65"/>
        <v>661500</v>
      </c>
      <c r="R43" s="2164">
        <f t="shared" si="65"/>
        <v>661500</v>
      </c>
      <c r="S43" s="2164">
        <f t="shared" si="65"/>
        <v>661500</v>
      </c>
      <c r="T43" s="2164">
        <f t="shared" si="65"/>
        <v>661500</v>
      </c>
      <c r="U43" s="2167">
        <f t="shared" si="63"/>
        <v>1984500</v>
      </c>
      <c r="V43" s="2164">
        <f>SUM(V44:V45)</f>
        <v>1984500</v>
      </c>
      <c r="W43" s="2168">
        <f>U43-V43</f>
        <v>0</v>
      </c>
      <c r="X43" s="2164">
        <f t="shared" ref="X43:AC43" si="66">SUM(X44:X45)</f>
        <v>661500</v>
      </c>
      <c r="Y43" s="2164">
        <f t="shared" si="66"/>
        <v>661500</v>
      </c>
      <c r="Z43" s="2164">
        <f t="shared" si="66"/>
        <v>641500</v>
      </c>
      <c r="AA43" s="2164">
        <f t="shared" si="66"/>
        <v>641500</v>
      </c>
      <c r="AB43" s="2164">
        <f t="shared" si="66"/>
        <v>362285</v>
      </c>
      <c r="AC43" s="2164">
        <f t="shared" si="66"/>
        <v>362285</v>
      </c>
      <c r="AD43" s="2168">
        <f>SUM(X43+Z43+AB43)</f>
        <v>1665285</v>
      </c>
      <c r="AE43" s="2164">
        <f>SUM(AE44:AE45)</f>
        <v>1665285</v>
      </c>
      <c r="AF43" s="2168">
        <f>AD43-AE43</f>
        <v>0</v>
      </c>
      <c r="AG43" s="2164">
        <f t="shared" ref="AG43:AO43" si="67">SUM(AG44:AG45)</f>
        <v>494025</v>
      </c>
      <c r="AH43" s="2164">
        <f t="shared" si="67"/>
        <v>494025</v>
      </c>
      <c r="AI43" s="2164">
        <f t="shared" si="67"/>
        <v>2187825</v>
      </c>
      <c r="AJ43" s="2164">
        <f t="shared" si="67"/>
        <v>2187825</v>
      </c>
      <c r="AK43" s="2164">
        <f t="shared" si="67"/>
        <v>494025</v>
      </c>
      <c r="AL43" s="2164">
        <f t="shared" si="67"/>
        <v>494025</v>
      </c>
      <c r="AM43" s="2164">
        <f t="shared" si="67"/>
        <v>3175875</v>
      </c>
      <c r="AN43" s="2164">
        <f t="shared" si="67"/>
        <v>3175875</v>
      </c>
      <c r="AO43" s="2164">
        <f t="shared" si="67"/>
        <v>0</v>
      </c>
      <c r="AP43" s="1914">
        <f t="shared" ref="AP43:AU43" si="68">SUM(AP44:AP45)</f>
        <v>494025</v>
      </c>
      <c r="AQ43" s="1914">
        <f t="shared" si="68"/>
        <v>494025</v>
      </c>
      <c r="AR43" s="1914">
        <f t="shared" si="68"/>
        <v>494025</v>
      </c>
      <c r="AS43" s="1914">
        <f t="shared" si="68"/>
        <v>494025</v>
      </c>
      <c r="AT43" s="1914">
        <f t="shared" si="68"/>
        <v>494025</v>
      </c>
      <c r="AU43" s="1914">
        <f t="shared" si="68"/>
        <v>494025</v>
      </c>
      <c r="AV43" s="1914">
        <f>SUM(AV44:AV45)</f>
        <v>1482075</v>
      </c>
      <c r="AW43" s="1914"/>
      <c r="AX43" s="1914"/>
      <c r="AY43" s="1918">
        <f>H43-V43-AE43</f>
        <v>1280215</v>
      </c>
      <c r="AZ43" s="2030">
        <f t="shared" si="9"/>
        <v>-1895660</v>
      </c>
      <c r="BA43" s="1918">
        <f>G43+U43+AD43+AM43+AV43</f>
        <v>8307735</v>
      </c>
      <c r="BB43" s="1918">
        <f t="shared" si="53"/>
        <v>6825660</v>
      </c>
      <c r="BC43" s="1918">
        <f>E43-V43-AE43-AN43-AW43</f>
        <v>1574340</v>
      </c>
      <c r="BD43" s="2054"/>
      <c r="BE43" s="2047"/>
    </row>
    <row r="44" spans="1:77" ht="23.25" hidden="1" customHeight="1" x14ac:dyDescent="0.35">
      <c r="A44" s="1654"/>
      <c r="B44" s="1681" t="s">
        <v>708</v>
      </c>
      <c r="C44" s="1681"/>
      <c r="D44" s="1682"/>
      <c r="E44" s="2169">
        <f>3540000+500000+960000+3400000</f>
        <v>8400000</v>
      </c>
      <c r="F44" s="2170">
        <f>1770000+250000+480000</f>
        <v>2500000</v>
      </c>
      <c r="G44" s="2101"/>
      <c r="H44" s="2171">
        <f>F44-G44</f>
        <v>2500000</v>
      </c>
      <c r="I44" s="2128"/>
      <c r="J44" s="2171"/>
      <c r="K44" s="2171"/>
      <c r="L44" s="2116"/>
      <c r="M44" s="2171"/>
      <c r="N44" s="2171"/>
      <c r="O44" s="2104">
        <v>661500</v>
      </c>
      <c r="P44" s="2105">
        <f>'[9]1.รายการผูกพัน (สัญญาทั้งปี)'!$AP$4</f>
        <v>661500</v>
      </c>
      <c r="Q44" s="2104">
        <v>661500</v>
      </c>
      <c r="R44" s="2105">
        <f>'[9]1.รายการผูกพัน (สัญญาทั้งปี)'!$AP$5</f>
        <v>661500</v>
      </c>
      <c r="S44" s="2104">
        <v>661500</v>
      </c>
      <c r="T44" s="2105">
        <f>'[9]1.รายการผูกพัน (สัญญาทั้งปี)'!$AP$6</f>
        <v>661500</v>
      </c>
      <c r="U44" s="2064">
        <f ca="1">SUM(U43:U45)</f>
        <v>0</v>
      </c>
      <c r="V44" s="2065">
        <f>SUM(P44+R44+T44)</f>
        <v>1984500</v>
      </c>
      <c r="W44" s="2066">
        <f ca="1">U44-V44</f>
        <v>661500</v>
      </c>
      <c r="X44" s="2104">
        <v>661500</v>
      </c>
      <c r="Y44" s="2105">
        <f>'[9]1.รายการผูกพัน (สัญญาทั้งปี)'!$AP$7</f>
        <v>661500</v>
      </c>
      <c r="Z44" s="2104">
        <v>641500</v>
      </c>
      <c r="AA44" s="2105">
        <f>'[9]1.รายการผูกพัน (สัญญาทั้งปี)'!$AP$8</f>
        <v>641500</v>
      </c>
      <c r="AB44" s="2104">
        <v>362285</v>
      </c>
      <c r="AC44" s="2105">
        <f>'[9]1.รายการผูกพัน (สัญญาทั้งปี)'!$AP$9</f>
        <v>362285</v>
      </c>
      <c r="AD44" s="2064">
        <f>SUM(X44+Z44+AB44)</f>
        <v>1665285</v>
      </c>
      <c r="AE44" s="2065">
        <f>SUM(Y44+AA44+AC44)</f>
        <v>1665285</v>
      </c>
      <c r="AF44" s="2066">
        <f>AD44-AE44</f>
        <v>0</v>
      </c>
      <c r="AG44" s="2104">
        <v>494025</v>
      </c>
      <c r="AH44" s="2105">
        <f>'[9]1.รายการผูกพัน (สัญญาทั้งปี)'!$AP$10</f>
        <v>494025</v>
      </c>
      <c r="AI44" s="2104">
        <v>2187825</v>
      </c>
      <c r="AJ44" s="2105">
        <f>'[9]1.รายการผูกพัน (สัญญาทั้งปี)'!$AP$11</f>
        <v>2187825</v>
      </c>
      <c r="AK44" s="2104">
        <v>494025</v>
      </c>
      <c r="AL44" s="2105">
        <f>'[9]1.รายการผูกพัน (สัญญาทั้งปี)'!$AP$12</f>
        <v>494025</v>
      </c>
      <c r="AM44" s="2064">
        <f t="shared" si="61"/>
        <v>3175875</v>
      </c>
      <c r="AN44" s="2065">
        <f t="shared" si="31"/>
        <v>3175875</v>
      </c>
      <c r="AO44" s="2066">
        <f t="shared" si="7"/>
        <v>0</v>
      </c>
      <c r="AP44" s="1710">
        <v>494025</v>
      </c>
      <c r="AQ44" s="1711">
        <f>'[9]1.รายการผูกพัน (สัญญาทั้งปี)'!$AP$13</f>
        <v>494025</v>
      </c>
      <c r="AR44" s="1710">
        <v>494025</v>
      </c>
      <c r="AS44" s="1711">
        <f>'[9]1.รายการผูกพัน (สัญญาทั้งปี)'!$AP$14</f>
        <v>494025</v>
      </c>
      <c r="AT44" s="1710">
        <v>494025</v>
      </c>
      <c r="AU44" s="1711">
        <f>'[9]1.รายการผูกพัน (สัญญาทั้งปี)'!$AP$15</f>
        <v>494025</v>
      </c>
      <c r="AV44" s="1724">
        <f t="shared" si="62"/>
        <v>1482075</v>
      </c>
      <c r="AW44" s="1728">
        <f t="shared" si="32"/>
        <v>1482075</v>
      </c>
      <c r="AX44" s="1712">
        <f t="shared" si="8"/>
        <v>0</v>
      </c>
      <c r="AY44" s="1786">
        <f>H44-V44-AE44</f>
        <v>-1149785</v>
      </c>
      <c r="AZ44" s="2031">
        <f t="shared" si="9"/>
        <v>-4325660</v>
      </c>
      <c r="BA44" s="1724">
        <f ca="1">G44+U44+AD44+AM44+AV44</f>
        <v>6961500</v>
      </c>
      <c r="BB44" s="1722">
        <f t="shared" si="53"/>
        <v>8307735</v>
      </c>
      <c r="BC44" s="1722">
        <f>E44-V44-AE44</f>
        <v>4750215</v>
      </c>
      <c r="BD44" s="2055"/>
      <c r="BE44" s="2047">
        <f t="shared" si="11"/>
        <v>4750215</v>
      </c>
    </row>
    <row r="45" spans="1:77" ht="23.25" hidden="1" customHeight="1" x14ac:dyDescent="0.35">
      <c r="A45" s="1654"/>
      <c r="B45" s="1681" t="s">
        <v>707</v>
      </c>
      <c r="C45" s="1681"/>
      <c r="D45" s="1682"/>
      <c r="E45" s="2172"/>
      <c r="F45" s="2170">
        <f>2430000</f>
        <v>2430000</v>
      </c>
      <c r="G45" s="2101"/>
      <c r="H45" s="2171">
        <f>F45-G45</f>
        <v>2430000</v>
      </c>
      <c r="I45" s="2128"/>
      <c r="J45" s="2171"/>
      <c r="K45" s="2171"/>
      <c r="L45" s="2116"/>
      <c r="M45" s="2171"/>
      <c r="N45" s="2171"/>
      <c r="O45" s="2104"/>
      <c r="P45" s="2105"/>
      <c r="Q45" s="2104"/>
      <c r="R45" s="2105"/>
      <c r="S45" s="2104"/>
      <c r="T45" s="2105"/>
      <c r="U45" s="2064"/>
      <c r="V45" s="2065"/>
      <c r="W45" s="2066"/>
      <c r="X45" s="2104"/>
      <c r="Y45" s="2105"/>
      <c r="Z45" s="2104"/>
      <c r="AA45" s="2105"/>
      <c r="AB45" s="2104"/>
      <c r="AC45" s="2105"/>
      <c r="AD45" s="2064">
        <f>SUM(X45+Z45+AB45)</f>
        <v>0</v>
      </c>
      <c r="AE45" s="2065"/>
      <c r="AF45" s="2066"/>
      <c r="AG45" s="2104"/>
      <c r="AH45" s="2105"/>
      <c r="AI45" s="2104"/>
      <c r="AJ45" s="2105"/>
      <c r="AK45" s="2104"/>
      <c r="AL45" s="2105"/>
      <c r="AM45" s="2064"/>
      <c r="AN45" s="2065"/>
      <c r="AO45" s="2066"/>
      <c r="AP45" s="1710"/>
      <c r="AQ45" s="1711"/>
      <c r="AR45" s="1710"/>
      <c r="AS45" s="1711"/>
      <c r="AT45" s="1710"/>
      <c r="AU45" s="1711"/>
      <c r="AV45" s="1724"/>
      <c r="AW45" s="1728"/>
      <c r="AX45" s="1712"/>
      <c r="AY45" s="1786">
        <f>H45-V45-AE45</f>
        <v>2430000</v>
      </c>
      <c r="AZ45" s="2031">
        <f t="shared" si="9"/>
        <v>2430000</v>
      </c>
      <c r="BA45" s="1724">
        <f>G45+U45+AD45+AM45+AV45</f>
        <v>0</v>
      </c>
      <c r="BB45" s="1722">
        <f t="shared" si="53"/>
        <v>0</v>
      </c>
      <c r="BC45" s="1722">
        <f>E45-V45-AE45</f>
        <v>0</v>
      </c>
      <c r="BD45" s="2055"/>
      <c r="BE45" s="2047">
        <f t="shared" si="11"/>
        <v>0</v>
      </c>
    </row>
    <row r="46" spans="1:77" ht="35.25" customHeight="1" x14ac:dyDescent="0.35">
      <c r="A46" s="1654"/>
      <c r="B46" s="3344" t="s">
        <v>666</v>
      </c>
      <c r="C46" s="3344"/>
      <c r="D46" s="3345"/>
      <c r="E46" s="2172">
        <f>2300000-46000</f>
        <v>2254000</v>
      </c>
      <c r="F46" s="2173">
        <v>1063900</v>
      </c>
      <c r="G46" s="1884"/>
      <c r="H46" s="2174">
        <f>F46-G46</f>
        <v>1063900</v>
      </c>
      <c r="I46" s="1697">
        <f>200000-46000</f>
        <v>154000</v>
      </c>
      <c r="J46" s="2175">
        <v>0</v>
      </c>
      <c r="K46" s="2174">
        <f t="shared" ref="K46:K63" si="69">I46-J46</f>
        <v>154000</v>
      </c>
      <c r="L46" s="2176">
        <v>1036100</v>
      </c>
      <c r="M46" s="1873">
        <v>0</v>
      </c>
      <c r="N46" s="1873">
        <f>L46-M46</f>
        <v>1036100</v>
      </c>
      <c r="O46" s="1702">
        <v>0</v>
      </c>
      <c r="P46" s="1703">
        <f>'[13]16.โครงการ รายเดือน'!$DX$20</f>
        <v>0</v>
      </c>
      <c r="Q46" s="1702">
        <v>0</v>
      </c>
      <c r="R46" s="1703">
        <f>'[13]16.โครงการ รายเดือน'!$DZ$20</f>
        <v>0</v>
      </c>
      <c r="S46" s="1702">
        <v>0</v>
      </c>
      <c r="T46" s="1703">
        <f>'[13]16.โครงการ รายเดือน'!$EB$20</f>
        <v>0</v>
      </c>
      <c r="U46" s="1726">
        <f t="shared" si="63"/>
        <v>0</v>
      </c>
      <c r="V46" s="1730">
        <f t="shared" si="19"/>
        <v>0</v>
      </c>
      <c r="W46" s="1697">
        <f t="shared" si="20"/>
        <v>0</v>
      </c>
      <c r="X46" s="1702">
        <v>0</v>
      </c>
      <c r="Y46" s="1703">
        <f>'[13]16.โครงการ รายเดือน'!$ED$20</f>
        <v>0</v>
      </c>
      <c r="Z46" s="1702">
        <f>[21]สภท!$F$183</f>
        <v>300000</v>
      </c>
      <c r="AA46" s="1703">
        <f>'[13]16.โครงการ รายเดือน'!$EF$20</f>
        <v>30000</v>
      </c>
      <c r="AB46" s="1702">
        <f>[21]สภท!$G$183</f>
        <v>82150</v>
      </c>
      <c r="AC46" s="1703">
        <f>'[13]16.โครงการ รายเดือน'!$EH$20</f>
        <v>264800.8</v>
      </c>
      <c r="AD46" s="1726">
        <f t="shared" si="21"/>
        <v>382150</v>
      </c>
      <c r="AE46" s="1730">
        <f t="shared" si="5"/>
        <v>294800.8</v>
      </c>
      <c r="AF46" s="1697">
        <f t="shared" si="6"/>
        <v>87349.200000000012</v>
      </c>
      <c r="AG46" s="1702">
        <f>[21]สภท!$H$183</f>
        <v>100000</v>
      </c>
      <c r="AH46" s="1703">
        <f>'[13]16.โครงการ รายเดือน'!$EJ$20</f>
        <v>51930</v>
      </c>
      <c r="AI46" s="1702">
        <f>[21]สภท!$I$183-46000</f>
        <v>608750</v>
      </c>
      <c r="AJ46" s="1703">
        <f>'[13]16.โครงการ รายเดือน'!$EL$20</f>
        <v>238551.9</v>
      </c>
      <c r="AK46" s="1702">
        <f>[22]ประยุกต์!$C$15</f>
        <v>127000</v>
      </c>
      <c r="AL46" s="1703">
        <f>'[13]16.โครงการ รายเดือน'!$EN$20</f>
        <v>562208.19999999995</v>
      </c>
      <c r="AM46" s="1726">
        <f t="shared" si="61"/>
        <v>835750</v>
      </c>
      <c r="AN46" s="1730">
        <f t="shared" si="31"/>
        <v>852690.1</v>
      </c>
      <c r="AO46" s="1697">
        <f t="shared" si="7"/>
        <v>-16940.099999999977</v>
      </c>
      <c r="AP46" s="1698">
        <f>[22]ประยุกต์!$D$15</f>
        <v>487000</v>
      </c>
      <c r="AQ46" s="1699">
        <f>'[13]16.โครงการ รายเดือน'!$EP$20</f>
        <v>451026</v>
      </c>
      <c r="AR46" s="1698">
        <f>[22]ประยุกต์!$E$15</f>
        <v>473000</v>
      </c>
      <c r="AS46" s="1699">
        <f>'[13]16.โครงการ รายเดือน'!$ER$20</f>
        <v>0</v>
      </c>
      <c r="AT46" s="1698">
        <f>[22]ประยุกต์!$F$15</f>
        <v>76100</v>
      </c>
      <c r="AU46" s="1699">
        <f>'[13]16.โครงการ รายเดือน'!$ET$20</f>
        <v>0</v>
      </c>
      <c r="AV46" s="1725">
        <f t="shared" si="62"/>
        <v>1036100</v>
      </c>
      <c r="AW46" s="1729">
        <f t="shared" si="32"/>
        <v>451026</v>
      </c>
      <c r="AX46" s="1696">
        <f t="shared" si="8"/>
        <v>585074</v>
      </c>
      <c r="AY46" s="1829">
        <f>H46-V46-AE46</f>
        <v>769099.2</v>
      </c>
      <c r="AZ46" s="2031">
        <f>K46-AN46+AY46</f>
        <v>70409.099999999977</v>
      </c>
      <c r="BA46" s="1724">
        <f>U46+AD46+AM46+AV46</f>
        <v>2254000</v>
      </c>
      <c r="BB46" s="1709">
        <f>G46+V46+AE46+AN46+AW46+J46+M46</f>
        <v>1598516.9</v>
      </c>
      <c r="BC46" s="1709">
        <f>E46-BB46</f>
        <v>655483.10000000009</v>
      </c>
      <c r="BD46" s="2055">
        <f>BA46-BB46</f>
        <v>655483.10000000009</v>
      </c>
      <c r="BE46" s="2047">
        <f t="shared" si="11"/>
        <v>0</v>
      </c>
    </row>
    <row r="47" spans="1:77" ht="33" customHeight="1" x14ac:dyDescent="0.35">
      <c r="A47" s="1652"/>
      <c r="B47" s="3344" t="s">
        <v>667</v>
      </c>
      <c r="C47" s="3344"/>
      <c r="D47" s="3345"/>
      <c r="E47" s="2172">
        <f>E48+E49+E52+E56+E57</f>
        <v>20307491</v>
      </c>
      <c r="F47" s="2177"/>
      <c r="G47" s="1884"/>
      <c r="H47" s="1873"/>
      <c r="I47" s="1926"/>
      <c r="J47" s="2175"/>
      <c r="K47" s="1873">
        <f t="shared" si="69"/>
        <v>0</v>
      </c>
      <c r="L47" s="2042"/>
      <c r="M47" s="1873"/>
      <c r="N47" s="1873"/>
      <c r="O47" s="1702"/>
      <c r="P47" s="1703"/>
      <c r="Q47" s="1702"/>
      <c r="R47" s="1703"/>
      <c r="S47" s="1702"/>
      <c r="T47" s="1703"/>
      <c r="U47" s="1726">
        <f t="shared" si="63"/>
        <v>0</v>
      </c>
      <c r="V47" s="1730">
        <f t="shared" si="19"/>
        <v>0</v>
      </c>
      <c r="W47" s="1697">
        <f t="shared" si="20"/>
        <v>0</v>
      </c>
      <c r="X47" s="1702"/>
      <c r="Y47" s="1703"/>
      <c r="Z47" s="1702"/>
      <c r="AA47" s="1703"/>
      <c r="AB47" s="1702"/>
      <c r="AC47" s="1703"/>
      <c r="AD47" s="1726">
        <f t="shared" si="21"/>
        <v>0</v>
      </c>
      <c r="AE47" s="1730">
        <f t="shared" si="5"/>
        <v>0</v>
      </c>
      <c r="AF47" s="1697">
        <f t="shared" si="6"/>
        <v>0</v>
      </c>
      <c r="AG47" s="1702"/>
      <c r="AH47" s="1703"/>
      <c r="AI47" s="1702"/>
      <c r="AJ47" s="1703"/>
      <c r="AK47" s="1702"/>
      <c r="AL47" s="1703"/>
      <c r="AM47" s="1726">
        <f t="shared" si="61"/>
        <v>0</v>
      </c>
      <c r="AN47" s="1730">
        <f t="shared" si="31"/>
        <v>0</v>
      </c>
      <c r="AO47" s="1697">
        <f t="shared" si="7"/>
        <v>0</v>
      </c>
      <c r="AP47" s="1698"/>
      <c r="AQ47" s="1699"/>
      <c r="AR47" s="1698"/>
      <c r="AS47" s="1699"/>
      <c r="AT47" s="1698"/>
      <c r="AU47" s="1699"/>
      <c r="AV47" s="1725">
        <f t="shared" si="62"/>
        <v>0</v>
      </c>
      <c r="AW47" s="1729">
        <f t="shared" si="32"/>
        <v>0</v>
      </c>
      <c r="AX47" s="1696">
        <f t="shared" si="8"/>
        <v>0</v>
      </c>
      <c r="AY47" s="1829"/>
      <c r="AZ47" s="2031">
        <f t="shared" si="9"/>
        <v>0</v>
      </c>
      <c r="BA47" s="1725">
        <f>G47+U47+AD47+AM47+AV47</f>
        <v>0</v>
      </c>
      <c r="BB47" s="1709">
        <f>G47+V47+AE47+AN47+AW47</f>
        <v>0</v>
      </c>
      <c r="BC47" s="1709" t="e">
        <f>BC48+BC49+BC52+BC56+BC57</f>
        <v>#REF!</v>
      </c>
      <c r="BD47" s="2055"/>
      <c r="BE47" s="2047"/>
      <c r="BF47" s="1734" t="s">
        <v>671</v>
      </c>
    </row>
    <row r="48" spans="1:77" s="1618" customFormat="1" ht="30" customHeight="1" x14ac:dyDescent="0.35">
      <c r="A48" s="1654"/>
      <c r="B48" s="1681"/>
      <c r="C48" s="3342" t="s">
        <v>640</v>
      </c>
      <c r="D48" s="3343"/>
      <c r="E48" s="2172">
        <v>1500000</v>
      </c>
      <c r="F48" s="2177">
        <v>1402300</v>
      </c>
      <c r="G48" s="2178">
        <v>1123500</v>
      </c>
      <c r="H48" s="2179">
        <f>F48-G48</f>
        <v>278800</v>
      </c>
      <c r="I48" s="1697">
        <v>0</v>
      </c>
      <c r="J48" s="2180">
        <v>0</v>
      </c>
      <c r="K48" s="2179">
        <f t="shared" si="69"/>
        <v>0</v>
      </c>
      <c r="L48" s="2181">
        <v>97700</v>
      </c>
      <c r="M48" s="2179">
        <v>0</v>
      </c>
      <c r="N48" s="2179">
        <f>L48-M48</f>
        <v>97700</v>
      </c>
      <c r="O48" s="2182">
        <v>6760</v>
      </c>
      <c r="P48" s="2183" t="e">
        <f>#REF!</f>
        <v>#REF!</v>
      </c>
      <c r="Q48" s="2182">
        <v>0</v>
      </c>
      <c r="R48" s="2183" t="e">
        <f>#REF!</f>
        <v>#REF!</v>
      </c>
      <c r="S48" s="2182">
        <v>252212</v>
      </c>
      <c r="T48" s="2183" t="e">
        <f>#REF!</f>
        <v>#REF!</v>
      </c>
      <c r="U48" s="1726">
        <f t="shared" si="63"/>
        <v>258972</v>
      </c>
      <c r="V48" s="1730" t="e">
        <f t="shared" si="19"/>
        <v>#REF!</v>
      </c>
      <c r="W48" s="1697" t="e">
        <f t="shared" si="20"/>
        <v>#REF!</v>
      </c>
      <c r="X48" s="2182"/>
      <c r="Y48" s="2183" t="e">
        <f>#REF!</f>
        <v>#REF!</v>
      </c>
      <c r="Z48" s="2182">
        <v>17550</v>
      </c>
      <c r="AA48" s="2183" t="e">
        <f>#REF!</f>
        <v>#REF!</v>
      </c>
      <c r="AB48" s="2182"/>
      <c r="AC48" s="2183" t="e">
        <f>#REF!</f>
        <v>#REF!</v>
      </c>
      <c r="AD48" s="1726">
        <f>SUM(X48+Z48+AB48)</f>
        <v>17550</v>
      </c>
      <c r="AE48" s="1730" t="e">
        <f t="shared" si="5"/>
        <v>#REF!</v>
      </c>
      <c r="AF48" s="1697" t="e">
        <f t="shared" si="6"/>
        <v>#REF!</v>
      </c>
      <c r="AG48" s="2182"/>
      <c r="AH48" s="2183" t="e">
        <f>#REF!</f>
        <v>#REF!</v>
      </c>
      <c r="AI48" s="2182"/>
      <c r="AJ48" s="2183" t="e">
        <f>#REF!</f>
        <v>#REF!</v>
      </c>
      <c r="AK48" s="2182"/>
      <c r="AL48" s="2183" t="e">
        <f>#REF!</f>
        <v>#REF!</v>
      </c>
      <c r="AM48" s="1726">
        <f>SUM(AG48+AI48+AK48)</f>
        <v>0</v>
      </c>
      <c r="AN48" s="1730" t="e">
        <f t="shared" si="31"/>
        <v>#REF!</v>
      </c>
      <c r="AO48" s="1697" t="e">
        <f t="shared" si="7"/>
        <v>#REF!</v>
      </c>
      <c r="AP48" s="1815">
        <f>'[19]ยุทธฯ จัดทำสารสนเทศฯ'!$M$20</f>
        <v>50000</v>
      </c>
      <c r="AQ48" s="1816" t="e">
        <f>#REF!</f>
        <v>#REF!</v>
      </c>
      <c r="AR48" s="1815">
        <f>'[19]ยุทธฯ จัดทำสารสนเทศฯ'!$N$20</f>
        <v>47697</v>
      </c>
      <c r="AS48" s="1816" t="e">
        <f>#REF!</f>
        <v>#REF!</v>
      </c>
      <c r="AT48" s="1815"/>
      <c r="AU48" s="1816" t="e">
        <f>#REF!</f>
        <v>#REF!</v>
      </c>
      <c r="AV48" s="1725">
        <f t="shared" si="62"/>
        <v>97697</v>
      </c>
      <c r="AW48" s="1729" t="e">
        <f t="shared" si="32"/>
        <v>#REF!</v>
      </c>
      <c r="AX48" s="1696" t="e">
        <f t="shared" si="8"/>
        <v>#REF!</v>
      </c>
      <c r="AY48" s="1829" t="e">
        <f t="shared" ref="AY48:AY63" si="70">H48-V48-AE48</f>
        <v>#REF!</v>
      </c>
      <c r="AZ48" s="2031" t="e">
        <f>K48-AN48+AY48</f>
        <v>#REF!</v>
      </c>
      <c r="BA48" s="1725">
        <f>G48+U48+AD48+AM48+AV48+M48</f>
        <v>1497719</v>
      </c>
      <c r="BB48" s="1709" t="e">
        <f>G48+V48+AE48+AN48+AW48+M48</f>
        <v>#REF!</v>
      </c>
      <c r="BC48" s="1709" t="e">
        <f t="shared" ref="BC48:BC55" si="71">E48-BB48</f>
        <v>#REF!</v>
      </c>
      <c r="BD48" s="2055" t="e">
        <f t="shared" ref="BD48:BD60" si="72">BA48-BB48</f>
        <v>#REF!</v>
      </c>
      <c r="BE48" s="2047" t="e">
        <f t="shared" si="11"/>
        <v>#REF!</v>
      </c>
      <c r="BF48" s="1774"/>
      <c r="BG48" s="385"/>
      <c r="BH48" s="385"/>
      <c r="BI48" s="385"/>
      <c r="BJ48" s="385"/>
      <c r="BK48" s="385"/>
      <c r="BL48" s="1817"/>
      <c r="BM48" s="1817"/>
      <c r="BN48" s="1817"/>
      <c r="BO48" s="1817"/>
      <c r="BP48" s="1817"/>
      <c r="BQ48" s="1817"/>
      <c r="BR48" s="1817"/>
      <c r="BS48" s="1817"/>
      <c r="BT48" s="1817"/>
      <c r="BU48" s="1817"/>
      <c r="BV48" s="1817"/>
      <c r="BW48" s="1817"/>
      <c r="BX48" s="1817"/>
      <c r="BY48" s="1817"/>
    </row>
    <row r="49" spans="1:77" s="1618" customFormat="1" ht="37.5" customHeight="1" x14ac:dyDescent="0.35">
      <c r="A49" s="1654"/>
      <c r="B49" s="1681"/>
      <c r="C49" s="3342" t="s">
        <v>636</v>
      </c>
      <c r="D49" s="3343"/>
      <c r="E49" s="2172">
        <v>4000000</v>
      </c>
      <c r="F49" s="2177">
        <f>SUM(F50:F51)</f>
        <v>2730400</v>
      </c>
      <c r="G49" s="2178">
        <f>SUM(G50:G51)</f>
        <v>2717200</v>
      </c>
      <c r="H49" s="2179">
        <f>F49-G49</f>
        <v>13200</v>
      </c>
      <c r="I49" s="1697">
        <f>SUM(I50:I51)</f>
        <v>677900</v>
      </c>
      <c r="J49" s="2180">
        <f>SUM(J50:J51)</f>
        <v>677832</v>
      </c>
      <c r="K49" s="2151">
        <f t="shared" si="69"/>
        <v>68</v>
      </c>
      <c r="L49" s="2181">
        <f>SUM(L50:L51)</f>
        <v>591700</v>
      </c>
      <c r="M49" s="2179">
        <f>SUM(M50:M51)</f>
        <v>462624</v>
      </c>
      <c r="N49" s="2179">
        <f>L49-M49</f>
        <v>129076</v>
      </c>
      <c r="O49" s="2182"/>
      <c r="P49" s="2183"/>
      <c r="Q49" s="2182"/>
      <c r="R49" s="2183"/>
      <c r="S49" s="2182">
        <v>11600</v>
      </c>
      <c r="T49" s="2183"/>
      <c r="U49" s="1726">
        <f t="shared" si="63"/>
        <v>11600</v>
      </c>
      <c r="V49" s="1730" t="e">
        <f>SUM(V50:V51)</f>
        <v>#REF!</v>
      </c>
      <c r="W49" s="1697" t="e">
        <f t="shared" si="20"/>
        <v>#REF!</v>
      </c>
      <c r="X49" s="2182"/>
      <c r="Y49" s="2183"/>
      <c r="Z49" s="2182"/>
      <c r="AA49" s="2183"/>
      <c r="AB49" s="2182"/>
      <c r="AC49" s="2183"/>
      <c r="AD49" s="1726">
        <f t="shared" si="21"/>
        <v>0</v>
      </c>
      <c r="AE49" s="1730">
        <f t="shared" si="5"/>
        <v>0</v>
      </c>
      <c r="AF49" s="1697">
        <f t="shared" si="6"/>
        <v>0</v>
      </c>
      <c r="AG49" s="2182"/>
      <c r="AH49" s="2183"/>
      <c r="AI49" s="2182"/>
      <c r="AJ49" s="2183"/>
      <c r="AK49" s="2182"/>
      <c r="AL49" s="2183"/>
      <c r="AM49" s="1726">
        <f t="shared" si="61"/>
        <v>0</v>
      </c>
      <c r="AN49" s="1730" t="e">
        <f>SUM(AN50:AN51)</f>
        <v>#REF!</v>
      </c>
      <c r="AO49" s="1697" t="e">
        <f t="shared" si="7"/>
        <v>#REF!</v>
      </c>
      <c r="AP49" s="1815">
        <f>SUM(AP50:AP51)</f>
        <v>33468</v>
      </c>
      <c r="AQ49" s="1816"/>
      <c r="AR49" s="1815">
        <f>SUM(AR50:AR51)</f>
        <v>60676</v>
      </c>
      <c r="AS49" s="1816"/>
      <c r="AT49" s="1815">
        <f>SUM(AT50:AT51)</f>
        <v>35000</v>
      </c>
      <c r="AU49" s="1816"/>
      <c r="AV49" s="1725">
        <f>SUM(AP49+AR49+AT49)</f>
        <v>129144</v>
      </c>
      <c r="AW49" s="1729">
        <f t="shared" si="32"/>
        <v>0</v>
      </c>
      <c r="AX49" s="1696">
        <f t="shared" si="8"/>
        <v>129144</v>
      </c>
      <c r="AY49" s="1829" t="e">
        <f t="shared" si="70"/>
        <v>#REF!</v>
      </c>
      <c r="AZ49" s="2031" t="e">
        <f t="shared" si="9"/>
        <v>#REF!</v>
      </c>
      <c r="BA49" s="1725">
        <f>U49+AD49+AM49+AV49+G49+J49+M49</f>
        <v>3998400</v>
      </c>
      <c r="BB49" s="1709" t="e">
        <f>G49+J49+V49+AE49+AN49+AW49+M49</f>
        <v>#REF!</v>
      </c>
      <c r="BC49" s="2215" t="e">
        <f t="shared" si="71"/>
        <v>#REF!</v>
      </c>
      <c r="BD49" s="2055" t="e">
        <f t="shared" si="72"/>
        <v>#REF!</v>
      </c>
      <c r="BE49" s="2047" t="e">
        <f t="shared" si="11"/>
        <v>#REF!</v>
      </c>
      <c r="BF49" s="1826" t="s">
        <v>672</v>
      </c>
      <c r="BG49" s="1639"/>
      <c r="BH49" s="1639"/>
      <c r="BI49" s="1639"/>
      <c r="BJ49" s="1639"/>
      <c r="BK49" s="1639"/>
      <c r="BL49" s="1817"/>
      <c r="BM49" s="1817"/>
      <c r="BN49" s="1817"/>
      <c r="BO49" s="1817"/>
      <c r="BP49" s="1817"/>
      <c r="BQ49" s="1817"/>
      <c r="BR49" s="1817"/>
      <c r="BS49" s="1817"/>
      <c r="BT49" s="1817"/>
      <c r="BU49" s="1817"/>
      <c r="BV49" s="1817"/>
      <c r="BW49" s="1817"/>
      <c r="BX49" s="1817"/>
      <c r="BY49" s="1817"/>
    </row>
    <row r="50" spans="1:77" ht="20.25" customHeight="1" x14ac:dyDescent="0.35">
      <c r="A50" s="1652"/>
      <c r="B50" s="1683"/>
      <c r="C50" s="1683"/>
      <c r="D50" s="1818" t="s">
        <v>635</v>
      </c>
      <c r="E50" s="2184">
        <v>2000000</v>
      </c>
      <c r="F50" s="2185">
        <f>1256132+6608</f>
        <v>1262740</v>
      </c>
      <c r="G50" s="1884">
        <f>1249524+16</f>
        <v>1249540</v>
      </c>
      <c r="H50" s="2151">
        <f>F50-G50</f>
        <v>13200</v>
      </c>
      <c r="I50" s="1926">
        <v>288400</v>
      </c>
      <c r="J50" s="2175">
        <v>288408</v>
      </c>
      <c r="K50" s="2151">
        <f t="shared" si="69"/>
        <v>-8</v>
      </c>
      <c r="L50" s="2042">
        <f>448860+6532</f>
        <v>455392</v>
      </c>
      <c r="M50" s="2151">
        <v>390888</v>
      </c>
      <c r="N50" s="2151">
        <f>L50-M50</f>
        <v>64504</v>
      </c>
      <c r="O50" s="1702"/>
      <c r="P50" s="1703" t="e">
        <f>#REF!</f>
        <v>#REF!</v>
      </c>
      <c r="Q50" s="1702">
        <v>0</v>
      </c>
      <c r="R50" s="1703" t="e">
        <f>#REF!</f>
        <v>#REF!</v>
      </c>
      <c r="S50" s="1702">
        <f>11600-5800</f>
        <v>5800</v>
      </c>
      <c r="T50" s="1703" t="e">
        <f>#REF!-5800</f>
        <v>#REF!</v>
      </c>
      <c r="U50" s="2148">
        <f t="shared" si="63"/>
        <v>5800</v>
      </c>
      <c r="V50" s="2149" t="e">
        <f t="shared" si="19"/>
        <v>#REF!</v>
      </c>
      <c r="W50" s="1926" t="e">
        <f t="shared" si="20"/>
        <v>#REF!</v>
      </c>
      <c r="X50" s="1702">
        <v>0</v>
      </c>
      <c r="Y50" s="1703" t="e">
        <f>#REF!</f>
        <v>#REF!</v>
      </c>
      <c r="Z50" s="1702">
        <v>0</v>
      </c>
      <c r="AA50" s="1703" t="e">
        <f>#REF!</f>
        <v>#REF!</v>
      </c>
      <c r="AB50" s="1702"/>
      <c r="AC50" s="1703" t="e">
        <f>#REF!</f>
        <v>#REF!</v>
      </c>
      <c r="AD50" s="2148">
        <f>SUM(X50+Z50+AB50)</f>
        <v>0</v>
      </c>
      <c r="AE50" s="2149" t="e">
        <f t="shared" si="5"/>
        <v>#REF!</v>
      </c>
      <c r="AF50" s="1926" t="e">
        <f t="shared" si="6"/>
        <v>#REF!</v>
      </c>
      <c r="AG50" s="1702"/>
      <c r="AH50" s="1703" t="e">
        <f>#REF!</f>
        <v>#REF!</v>
      </c>
      <c r="AI50" s="1702">
        <v>0</v>
      </c>
      <c r="AJ50" s="1703" t="e">
        <f>#REF!</f>
        <v>#REF!</v>
      </c>
      <c r="AK50" s="1702">
        <v>0</v>
      </c>
      <c r="AL50" s="1703" t="e">
        <f>#REF!</f>
        <v>#REF!</v>
      </c>
      <c r="AM50" s="2148"/>
      <c r="AN50" s="2149" t="e">
        <f t="shared" si="31"/>
        <v>#REF!</v>
      </c>
      <c r="AO50" s="1926" t="e">
        <f t="shared" si="7"/>
        <v>#REF!</v>
      </c>
      <c r="AP50" s="1698"/>
      <c r="AQ50" s="1699" t="e">
        <f>#REF!</f>
        <v>#REF!</v>
      </c>
      <c r="AR50" s="1698">
        <f>[21]สพร.!$L$31</f>
        <v>29572</v>
      </c>
      <c r="AS50" s="1699" t="e">
        <f>#REF!</f>
        <v>#REF!</v>
      </c>
      <c r="AT50" s="1698">
        <f>[21]สพร.!$M$31</f>
        <v>35000</v>
      </c>
      <c r="AU50" s="1699" t="e">
        <f>#REF!</f>
        <v>#REF!</v>
      </c>
      <c r="AV50" s="1794">
        <f>SUM(AP50+AR50+AT50)</f>
        <v>64572</v>
      </c>
      <c r="AW50" s="1795" t="e">
        <f t="shared" si="32"/>
        <v>#REF!</v>
      </c>
      <c r="AX50" s="1796" t="e">
        <f t="shared" si="8"/>
        <v>#REF!</v>
      </c>
      <c r="AY50" s="1833" t="e">
        <f t="shared" si="70"/>
        <v>#REF!</v>
      </c>
      <c r="AZ50" s="2031" t="e">
        <f t="shared" si="9"/>
        <v>#REF!</v>
      </c>
      <c r="BA50" s="1794">
        <f t="shared" ref="BA50:BA55" si="73">G50+J50+M50+U50+AD50+AM50+AV50</f>
        <v>1999208</v>
      </c>
      <c r="BB50" s="1819" t="e">
        <f>G50+J50+V50+AE50+AN50+AW50+M50</f>
        <v>#REF!</v>
      </c>
      <c r="BC50" s="1819" t="e">
        <f t="shared" si="71"/>
        <v>#REF!</v>
      </c>
      <c r="BD50" s="2056" t="e">
        <f t="shared" si="72"/>
        <v>#REF!</v>
      </c>
      <c r="BE50" s="2047" t="e">
        <f t="shared" si="11"/>
        <v>#REF!</v>
      </c>
      <c r="BF50" s="416">
        <f>E49-BA49</f>
        <v>1600</v>
      </c>
    </row>
    <row r="51" spans="1:77" ht="20.25" customHeight="1" x14ac:dyDescent="0.35">
      <c r="A51" s="1652"/>
      <c r="B51" s="1683"/>
      <c r="C51" s="1683"/>
      <c r="D51" s="1818" t="s">
        <v>1</v>
      </c>
      <c r="E51" s="2184">
        <v>2000000</v>
      </c>
      <c r="F51" s="2185">
        <v>1467660</v>
      </c>
      <c r="G51" s="1884">
        <v>1467660</v>
      </c>
      <c r="H51" s="2151">
        <f>F51-G51</f>
        <v>0</v>
      </c>
      <c r="I51" s="1926">
        <v>389500</v>
      </c>
      <c r="J51" s="2175">
        <v>389424</v>
      </c>
      <c r="K51" s="2151">
        <f t="shared" si="69"/>
        <v>76</v>
      </c>
      <c r="L51" s="2042">
        <f>142840-6532</f>
        <v>136308</v>
      </c>
      <c r="M51" s="2151">
        <v>71736</v>
      </c>
      <c r="N51" s="2151">
        <f t="shared" ref="N51:N63" si="74">L51-M51</f>
        <v>64572</v>
      </c>
      <c r="O51" s="1702"/>
      <c r="P51" s="1703" t="e">
        <f>#REF!</f>
        <v>#REF!</v>
      </c>
      <c r="Q51" s="1702"/>
      <c r="R51" s="1703" t="e">
        <f>#REF!</f>
        <v>#REF!</v>
      </c>
      <c r="S51" s="1702">
        <v>5800</v>
      </c>
      <c r="T51" s="1703" t="e">
        <f>#REF!+5800</f>
        <v>#REF!</v>
      </c>
      <c r="U51" s="2148">
        <f t="shared" si="63"/>
        <v>5800</v>
      </c>
      <c r="V51" s="2149" t="e">
        <f t="shared" si="19"/>
        <v>#REF!</v>
      </c>
      <c r="W51" s="1926" t="e">
        <f t="shared" si="20"/>
        <v>#REF!</v>
      </c>
      <c r="X51" s="1702"/>
      <c r="Y51" s="1703" t="e">
        <f>#REF!</f>
        <v>#REF!</v>
      </c>
      <c r="Z51" s="1702"/>
      <c r="AA51" s="1703" t="e">
        <f>#REF!</f>
        <v>#REF!</v>
      </c>
      <c r="AB51" s="1702"/>
      <c r="AC51" s="1703" t="e">
        <f>#REF!</f>
        <v>#REF!</v>
      </c>
      <c r="AD51" s="2148">
        <f t="shared" si="21"/>
        <v>0</v>
      </c>
      <c r="AE51" s="2149" t="e">
        <f t="shared" si="5"/>
        <v>#REF!</v>
      </c>
      <c r="AF51" s="1926" t="e">
        <f t="shared" si="6"/>
        <v>#REF!</v>
      </c>
      <c r="AG51" s="1702"/>
      <c r="AH51" s="1703" t="e">
        <f>#REF!</f>
        <v>#REF!</v>
      </c>
      <c r="AI51" s="1702"/>
      <c r="AJ51" s="1703" t="e">
        <f>#REF!</f>
        <v>#REF!</v>
      </c>
      <c r="AK51" s="1702"/>
      <c r="AL51" s="1703" t="e">
        <f>#REF!</f>
        <v>#REF!</v>
      </c>
      <c r="AM51" s="2148">
        <f t="shared" si="61"/>
        <v>0</v>
      </c>
      <c r="AN51" s="2149" t="e">
        <f t="shared" si="31"/>
        <v>#REF!</v>
      </c>
      <c r="AO51" s="1926" t="e">
        <f t="shared" si="7"/>
        <v>#REF!</v>
      </c>
      <c r="AP51" s="1698">
        <f>[21]สพส.!$K$31</f>
        <v>33468</v>
      </c>
      <c r="AQ51" s="1699" t="e">
        <f>#REF!</f>
        <v>#REF!</v>
      </c>
      <c r="AR51" s="1698">
        <f>[21]สพส.!$L$31</f>
        <v>31104</v>
      </c>
      <c r="AS51" s="1699" t="e">
        <f>#REF!</f>
        <v>#REF!</v>
      </c>
      <c r="AT51" s="1698"/>
      <c r="AU51" s="1699" t="e">
        <f>#REF!</f>
        <v>#REF!</v>
      </c>
      <c r="AV51" s="1794">
        <f>SUM(AP51+AR51+AT51)</f>
        <v>64572</v>
      </c>
      <c r="AW51" s="1795" t="e">
        <f t="shared" si="32"/>
        <v>#REF!</v>
      </c>
      <c r="AX51" s="1796" t="e">
        <f t="shared" si="8"/>
        <v>#REF!</v>
      </c>
      <c r="AY51" s="1833" t="e">
        <f t="shared" si="70"/>
        <v>#REF!</v>
      </c>
      <c r="AZ51" s="2031" t="e">
        <f t="shared" si="9"/>
        <v>#REF!</v>
      </c>
      <c r="BA51" s="1794">
        <f t="shared" si="73"/>
        <v>1999192</v>
      </c>
      <c r="BB51" s="1819" t="e">
        <f>G51+J51+V51+AE51+AN51+AW51+M51</f>
        <v>#REF!</v>
      </c>
      <c r="BC51" s="1819" t="e">
        <f t="shared" si="71"/>
        <v>#REF!</v>
      </c>
      <c r="BD51" s="2056" t="e">
        <f t="shared" si="72"/>
        <v>#REF!</v>
      </c>
      <c r="BE51" s="2047" t="e">
        <f t="shared" si="11"/>
        <v>#REF!</v>
      </c>
    </row>
    <row r="52" spans="1:77" s="1618" customFormat="1" ht="33.75" customHeight="1" x14ac:dyDescent="0.35">
      <c r="A52" s="1654"/>
      <c r="B52" s="1681"/>
      <c r="C52" s="3342" t="s">
        <v>641</v>
      </c>
      <c r="D52" s="3343"/>
      <c r="E52" s="2172">
        <f>4000000-200000</f>
        <v>3800000</v>
      </c>
      <c r="F52" s="2177">
        <f>SUM(F53:F55)</f>
        <v>1983200</v>
      </c>
      <c r="G52" s="2178">
        <f>SUM(G53:G55)</f>
        <v>1644800</v>
      </c>
      <c r="H52" s="2179">
        <f>SUM(H53:H55)</f>
        <v>338400</v>
      </c>
      <c r="I52" s="1697">
        <f>SUM(I53:I55)</f>
        <v>700200</v>
      </c>
      <c r="J52" s="2180">
        <f>SUM(J53:J55)</f>
        <v>750716</v>
      </c>
      <c r="K52" s="2179">
        <f t="shared" si="69"/>
        <v>-50516</v>
      </c>
      <c r="L52" s="2181">
        <f>SUM(L53:L55)</f>
        <v>1116600</v>
      </c>
      <c r="M52" s="2179">
        <f>SUM(M53:M55)</f>
        <v>887600</v>
      </c>
      <c r="N52" s="2179">
        <f t="shared" si="74"/>
        <v>229000</v>
      </c>
      <c r="O52" s="2182">
        <f>SUM(O53:O55)</f>
        <v>0</v>
      </c>
      <c r="P52" s="2183" t="e">
        <f t="shared" ref="P52:AX52" si="75">SUM(P53:P55)</f>
        <v>#REF!</v>
      </c>
      <c r="Q52" s="2182">
        <f t="shared" si="75"/>
        <v>5720</v>
      </c>
      <c r="R52" s="2183" t="e">
        <f t="shared" si="75"/>
        <v>#REF!</v>
      </c>
      <c r="S52" s="2182">
        <f t="shared" si="75"/>
        <v>46190</v>
      </c>
      <c r="T52" s="2183" t="e">
        <f t="shared" si="75"/>
        <v>#REF!</v>
      </c>
      <c r="U52" s="1726">
        <f t="shared" si="75"/>
        <v>51910</v>
      </c>
      <c r="V52" s="1730" t="e">
        <f t="shared" si="75"/>
        <v>#REF!</v>
      </c>
      <c r="W52" s="1697" t="e">
        <f t="shared" si="75"/>
        <v>#REF!</v>
      </c>
      <c r="X52" s="2182">
        <f t="shared" si="75"/>
        <v>0</v>
      </c>
      <c r="Y52" s="2183">
        <f t="shared" si="75"/>
        <v>0</v>
      </c>
      <c r="Z52" s="2182">
        <f t="shared" si="75"/>
        <v>124470</v>
      </c>
      <c r="AA52" s="2183">
        <f t="shared" si="75"/>
        <v>124470.2</v>
      </c>
      <c r="AB52" s="2182">
        <f t="shared" si="75"/>
        <v>60950</v>
      </c>
      <c r="AC52" s="2183">
        <f t="shared" si="75"/>
        <v>60950</v>
      </c>
      <c r="AD52" s="1726">
        <f t="shared" si="75"/>
        <v>185420</v>
      </c>
      <c r="AE52" s="1730">
        <f t="shared" si="75"/>
        <v>185420.2</v>
      </c>
      <c r="AF52" s="1697">
        <f t="shared" si="75"/>
        <v>-0.20000000001164153</v>
      </c>
      <c r="AG52" s="2182">
        <f t="shared" si="75"/>
        <v>0</v>
      </c>
      <c r="AH52" s="2183">
        <f t="shared" si="75"/>
        <v>0</v>
      </c>
      <c r="AI52" s="2182">
        <f t="shared" si="75"/>
        <v>27961</v>
      </c>
      <c r="AJ52" s="2183">
        <f t="shared" si="75"/>
        <v>27960.5</v>
      </c>
      <c r="AK52" s="2182">
        <f t="shared" si="75"/>
        <v>20660</v>
      </c>
      <c r="AL52" s="2183">
        <f t="shared" si="75"/>
        <v>52540</v>
      </c>
      <c r="AM52" s="1726">
        <f t="shared" si="75"/>
        <v>48621</v>
      </c>
      <c r="AN52" s="1730">
        <f t="shared" si="75"/>
        <v>80500.5</v>
      </c>
      <c r="AO52" s="1697">
        <f t="shared" si="75"/>
        <v>-31879.5</v>
      </c>
      <c r="AP52" s="1815">
        <f>SUM(AP53:AP55)</f>
        <v>120980</v>
      </c>
      <c r="AQ52" s="1816">
        <f t="shared" si="75"/>
        <v>75180</v>
      </c>
      <c r="AR52" s="1815">
        <f t="shared" si="75"/>
        <v>57753</v>
      </c>
      <c r="AS52" s="1816">
        <f t="shared" si="75"/>
        <v>37125</v>
      </c>
      <c r="AT52" s="1815">
        <f>SUM(AT53:AT55)</f>
        <v>52200</v>
      </c>
      <c r="AU52" s="1816" t="e">
        <f t="shared" si="75"/>
        <v>#REF!</v>
      </c>
      <c r="AV52" s="1725">
        <f>SUM(AV53:AV55)</f>
        <v>230933</v>
      </c>
      <c r="AW52" s="1729" t="e">
        <f t="shared" si="75"/>
        <v>#REF!</v>
      </c>
      <c r="AX52" s="1696" t="e">
        <f t="shared" si="75"/>
        <v>#REF!</v>
      </c>
      <c r="AY52" s="1829" t="e">
        <f>H52-V52-AE52</f>
        <v>#REF!</v>
      </c>
      <c r="AZ52" s="2031" t="e">
        <f>K52-AN52+AY52</f>
        <v>#REF!</v>
      </c>
      <c r="BA52" s="1726">
        <f t="shared" si="73"/>
        <v>3800000</v>
      </c>
      <c r="BB52" s="1709" t="e">
        <f>G52+J52+V52+AE52+AN52+AW52+M52</f>
        <v>#REF!</v>
      </c>
      <c r="BC52" s="1709" t="e">
        <f t="shared" si="71"/>
        <v>#REF!</v>
      </c>
      <c r="BD52" s="2055" t="e">
        <f t="shared" si="72"/>
        <v>#REF!</v>
      </c>
      <c r="BE52" s="2047" t="e">
        <f t="shared" si="11"/>
        <v>#REF!</v>
      </c>
      <c r="BF52" s="1774">
        <f>E52-BA52</f>
        <v>0</v>
      </c>
      <c r="BG52" s="385"/>
      <c r="BH52" s="385"/>
      <c r="BI52" s="385"/>
      <c r="BJ52" s="385"/>
      <c r="BK52" s="385"/>
      <c r="BL52" s="1817"/>
      <c r="BM52" s="1817"/>
      <c r="BN52" s="1817"/>
      <c r="BO52" s="1817"/>
      <c r="BP52" s="1817"/>
      <c r="BQ52" s="1817"/>
      <c r="BR52" s="1817"/>
      <c r="BS52" s="1817"/>
      <c r="BT52" s="1817"/>
      <c r="BU52" s="1817"/>
      <c r="BV52" s="1817"/>
      <c r="BW52" s="1817"/>
      <c r="BX52" s="1817"/>
      <c r="BY52" s="1817"/>
    </row>
    <row r="53" spans="1:77" ht="20.25" customHeight="1" x14ac:dyDescent="0.35">
      <c r="A53" s="1652"/>
      <c r="B53" s="1683"/>
      <c r="C53" s="1684"/>
      <c r="D53" s="1820" t="s">
        <v>643</v>
      </c>
      <c r="E53" s="2186">
        <f>E52-E54-E55-43000+43000</f>
        <v>2715852</v>
      </c>
      <c r="F53" s="2187">
        <f>1337170-100000</f>
        <v>1237170</v>
      </c>
      <c r="G53" s="1884">
        <f>895582+3188</f>
        <v>898770</v>
      </c>
      <c r="H53" s="2151">
        <f>F53-G53</f>
        <v>338400</v>
      </c>
      <c r="I53" s="1926">
        <v>613700</v>
      </c>
      <c r="J53" s="2175">
        <f>611540+52800</f>
        <v>664340</v>
      </c>
      <c r="K53" s="2151">
        <f t="shared" si="69"/>
        <v>-50640</v>
      </c>
      <c r="L53" s="2042">
        <v>907980</v>
      </c>
      <c r="M53" s="2151">
        <v>678980</v>
      </c>
      <c r="N53" s="2151">
        <f t="shared" si="74"/>
        <v>229000</v>
      </c>
      <c r="O53" s="1702"/>
      <c r="P53" s="1703">
        <f>'[17]16.โครงการ รายเดือน'!$CH$20</f>
        <v>0</v>
      </c>
      <c r="Q53" s="1702">
        <v>5720</v>
      </c>
      <c r="R53" s="1703">
        <f>'[17]16.โครงการ รายเดือน'!$CI$20</f>
        <v>5720</v>
      </c>
      <c r="S53" s="1702">
        <v>46190</v>
      </c>
      <c r="T53" s="1703">
        <f>'[17]16.โครงการ รายเดือน'!$CJ$20</f>
        <v>46190</v>
      </c>
      <c r="U53" s="2148">
        <f t="shared" si="63"/>
        <v>51910</v>
      </c>
      <c r="V53" s="2149">
        <f t="shared" si="19"/>
        <v>51910</v>
      </c>
      <c r="W53" s="1926">
        <f t="shared" si="20"/>
        <v>0</v>
      </c>
      <c r="X53" s="1702"/>
      <c r="Y53" s="1703">
        <f>'[17]16.โครงการ รายเดือน'!$CK$20</f>
        <v>0</v>
      </c>
      <c r="Z53" s="1702">
        <v>124470</v>
      </c>
      <c r="AA53" s="1703">
        <f>'[17]สรุป สพก.รายเดือน'!$R$8</f>
        <v>124470.2</v>
      </c>
      <c r="AB53" s="1702">
        <v>60950</v>
      </c>
      <c r="AC53" s="1703">
        <f>'[17]สรุป สพก.รายเดือน'!$R$9</f>
        <v>60950</v>
      </c>
      <c r="AD53" s="2148">
        <f>SUM(X53+Z53+AB53)</f>
        <v>185420</v>
      </c>
      <c r="AE53" s="2149">
        <f t="shared" si="5"/>
        <v>185420.2</v>
      </c>
      <c r="AF53" s="1926">
        <f t="shared" si="6"/>
        <v>-0.20000000001164153</v>
      </c>
      <c r="AG53" s="1702">
        <f>[21]สพก.!$H$57</f>
        <v>0</v>
      </c>
      <c r="AH53" s="1703">
        <f>'[17]16.โครงการ รายเดือน'!$CN$20</f>
        <v>0</v>
      </c>
      <c r="AI53" s="1702">
        <v>27961</v>
      </c>
      <c r="AJ53" s="1703">
        <f>'[17]16.โครงการ รายเดือน'!$CS$20</f>
        <v>27960.5</v>
      </c>
      <c r="AK53" s="1702">
        <v>20660</v>
      </c>
      <c r="AL53" s="1703">
        <f>'[17]16.โครงการ รายเดือน'!$CT$20+'[17]16.โครงการ รายเดือน'!$CU$20-AL54</f>
        <v>6990</v>
      </c>
      <c r="AM53" s="2148">
        <f t="shared" si="61"/>
        <v>48621</v>
      </c>
      <c r="AN53" s="2149">
        <f t="shared" si="31"/>
        <v>34950.5</v>
      </c>
      <c r="AO53" s="1926">
        <f t="shared" si="7"/>
        <v>13670.5</v>
      </c>
      <c r="AP53" s="1698">
        <f>[22]ติดตามภาวะ!$D$19</f>
        <v>77980</v>
      </c>
      <c r="AQ53" s="1699">
        <f>'[17]16.โครงการ รายเดือน'!$CW$20</f>
        <v>75180</v>
      </c>
      <c r="AR53" s="1698">
        <f>[22]ติดตามภาวะ!$E$19</f>
        <v>57753</v>
      </c>
      <c r="AS53" s="1699">
        <f>'[17]16.โครงการ รายเดือน'!$CX$20+'[17]16.โครงการ รายเดือน'!$CY$20</f>
        <v>37125</v>
      </c>
      <c r="AT53" s="1698">
        <f>[22]ติดตามภาวะ!$F$19</f>
        <v>52200</v>
      </c>
      <c r="AU53" s="1699" t="e">
        <f>'[17]16.โครงการ รายเดือน'!$CZ$20+'[17]16.โครงการ รายเดือน'!$DA$20</f>
        <v>#REF!</v>
      </c>
      <c r="AV53" s="1794">
        <f t="shared" si="62"/>
        <v>187933</v>
      </c>
      <c r="AW53" s="1795" t="e">
        <f t="shared" si="32"/>
        <v>#REF!</v>
      </c>
      <c r="AX53" s="1796" t="e">
        <f t="shared" si="8"/>
        <v>#REF!</v>
      </c>
      <c r="AY53" s="1833">
        <f>H53-V53-AE53</f>
        <v>101069.79999999999</v>
      </c>
      <c r="AZ53" s="2031">
        <f>K53-AN53+AY53</f>
        <v>15479.299999999988</v>
      </c>
      <c r="BA53" s="1794">
        <f t="shared" si="73"/>
        <v>2715974</v>
      </c>
      <c r="BB53" s="1819" t="e">
        <f>G53+J53+V53+AE53+AN53+AW53+M53</f>
        <v>#REF!</v>
      </c>
      <c r="BC53" s="1819" t="e">
        <f t="shared" si="71"/>
        <v>#REF!</v>
      </c>
      <c r="BD53" s="2056" t="e">
        <f t="shared" si="72"/>
        <v>#REF!</v>
      </c>
      <c r="BE53" s="2047" t="e">
        <f t="shared" si="11"/>
        <v>#REF!</v>
      </c>
      <c r="BF53" s="1731" t="s">
        <v>670</v>
      </c>
      <c r="BG53" s="1732"/>
      <c r="BH53" s="1732"/>
      <c r="BI53" s="1732"/>
      <c r="BJ53" s="1732"/>
      <c r="BK53" s="1732"/>
      <c r="BL53" s="1733"/>
      <c r="BM53" s="1733"/>
      <c r="BN53" s="1733"/>
      <c r="BO53" s="1733"/>
      <c r="BP53" s="1733"/>
    </row>
    <row r="54" spans="1:77" ht="20.25" customHeight="1" x14ac:dyDescent="0.35">
      <c r="A54" s="1652"/>
      <c r="B54" s="1683"/>
      <c r="C54" s="1684"/>
      <c r="D54" s="1818" t="s">
        <v>635</v>
      </c>
      <c r="E54" s="2186">
        <f>299388+43000</f>
        <v>342388</v>
      </c>
      <c r="F54" s="2187">
        <v>90768</v>
      </c>
      <c r="G54" s="1884">
        <v>90768</v>
      </c>
      <c r="H54" s="2151">
        <f>F54-G54</f>
        <v>0</v>
      </c>
      <c r="I54" s="1926">
        <v>0</v>
      </c>
      <c r="J54" s="2175">
        <v>0</v>
      </c>
      <c r="K54" s="2151">
        <f t="shared" si="69"/>
        <v>0</v>
      </c>
      <c r="L54" s="2042">
        <v>208620</v>
      </c>
      <c r="M54" s="2151">
        <v>208620</v>
      </c>
      <c r="N54" s="2151">
        <f t="shared" si="74"/>
        <v>0</v>
      </c>
      <c r="O54" s="1702">
        <v>0</v>
      </c>
      <c r="P54" s="1703" t="e">
        <f>#REF!</f>
        <v>#REF!</v>
      </c>
      <c r="Q54" s="1702">
        <v>0</v>
      </c>
      <c r="R54" s="1703" t="e">
        <f>#REF!</f>
        <v>#REF!</v>
      </c>
      <c r="S54" s="1702">
        <v>0</v>
      </c>
      <c r="T54" s="1703" t="e">
        <f>#REF!</f>
        <v>#REF!</v>
      </c>
      <c r="U54" s="2148">
        <f t="shared" si="63"/>
        <v>0</v>
      </c>
      <c r="V54" s="2149" t="e">
        <f t="shared" si="19"/>
        <v>#REF!</v>
      </c>
      <c r="W54" s="1926" t="e">
        <f t="shared" si="20"/>
        <v>#REF!</v>
      </c>
      <c r="X54" s="1702">
        <v>0</v>
      </c>
      <c r="Y54" s="1703"/>
      <c r="Z54" s="1702">
        <v>0</v>
      </c>
      <c r="AA54" s="1703"/>
      <c r="AB54" s="1702">
        <v>0</v>
      </c>
      <c r="AC54" s="1703"/>
      <c r="AD54" s="2148">
        <f t="shared" si="21"/>
        <v>0</v>
      </c>
      <c r="AE54" s="2149">
        <f t="shared" si="5"/>
        <v>0</v>
      </c>
      <c r="AF54" s="1926">
        <f t="shared" si="6"/>
        <v>0</v>
      </c>
      <c r="AG54" s="1702">
        <v>0</v>
      </c>
      <c r="AH54" s="1703"/>
      <c r="AI54" s="1702">
        <v>0</v>
      </c>
      <c r="AJ54" s="1703"/>
      <c r="AK54" s="1702">
        <v>0</v>
      </c>
      <c r="AL54" s="1703">
        <f>'[17]16.โครงการ'!$AV$104+'[17]16.โครงการ'!$AV$105+'[17]16.โครงการ'!$AU$102</f>
        <v>45550</v>
      </c>
      <c r="AM54" s="2148">
        <f t="shared" si="61"/>
        <v>0</v>
      </c>
      <c r="AN54" s="2149">
        <f t="shared" si="31"/>
        <v>45550</v>
      </c>
      <c r="AO54" s="1926">
        <f t="shared" si="7"/>
        <v>-45550</v>
      </c>
      <c r="AP54" s="1698">
        <f>[22]ติดตามภาวะ!$C$12</f>
        <v>43000</v>
      </c>
      <c r="AQ54" s="1699"/>
      <c r="AR54" s="1698">
        <v>0</v>
      </c>
      <c r="AS54" s="1699"/>
      <c r="AT54" s="1698">
        <v>0</v>
      </c>
      <c r="AU54" s="1699"/>
      <c r="AV54" s="1794">
        <f t="shared" si="62"/>
        <v>43000</v>
      </c>
      <c r="AW54" s="1795">
        <f t="shared" si="32"/>
        <v>0</v>
      </c>
      <c r="AX54" s="1796">
        <f t="shared" si="8"/>
        <v>43000</v>
      </c>
      <c r="AY54" s="1833" t="e">
        <f t="shared" si="70"/>
        <v>#REF!</v>
      </c>
      <c r="AZ54" s="2031" t="e">
        <f t="shared" si="9"/>
        <v>#REF!</v>
      </c>
      <c r="BA54" s="1794">
        <f t="shared" si="73"/>
        <v>342388</v>
      </c>
      <c r="BB54" s="1819" t="e">
        <f>G54+V54+AE54+AN54+AW54+J54+M54</f>
        <v>#REF!</v>
      </c>
      <c r="BC54" s="1819" t="e">
        <f t="shared" si="71"/>
        <v>#REF!</v>
      </c>
      <c r="BD54" s="2056" t="e">
        <f t="shared" si="72"/>
        <v>#REF!</v>
      </c>
      <c r="BE54" s="2047" t="e">
        <f t="shared" si="11"/>
        <v>#REF!</v>
      </c>
    </row>
    <row r="55" spans="1:77" ht="20.25" customHeight="1" x14ac:dyDescent="0.35">
      <c r="A55" s="1652"/>
      <c r="B55" s="1683"/>
      <c r="C55" s="1684"/>
      <c r="D55" s="1818" t="s">
        <v>1</v>
      </c>
      <c r="E55" s="2186">
        <f>741760</f>
        <v>741760</v>
      </c>
      <c r="F55" s="2187">
        <v>655262</v>
      </c>
      <c r="G55" s="1884">
        <v>655262</v>
      </c>
      <c r="H55" s="2151">
        <f>F55-G55</f>
        <v>0</v>
      </c>
      <c r="I55" s="1926">
        <v>86500</v>
      </c>
      <c r="J55" s="2175">
        <v>86376</v>
      </c>
      <c r="K55" s="2151">
        <f t="shared" si="69"/>
        <v>124</v>
      </c>
      <c r="L55" s="2042">
        <v>0</v>
      </c>
      <c r="M55" s="2151"/>
      <c r="N55" s="2151">
        <f t="shared" si="74"/>
        <v>0</v>
      </c>
      <c r="O55" s="1702"/>
      <c r="P55" s="1703"/>
      <c r="Q55" s="1702"/>
      <c r="R55" s="1703"/>
      <c r="S55" s="1702"/>
      <c r="T55" s="1703"/>
      <c r="U55" s="2148">
        <f t="shared" si="63"/>
        <v>0</v>
      </c>
      <c r="V55" s="2149">
        <f t="shared" si="19"/>
        <v>0</v>
      </c>
      <c r="W55" s="1926">
        <f t="shared" si="20"/>
        <v>0</v>
      </c>
      <c r="X55" s="1702"/>
      <c r="Y55" s="1703"/>
      <c r="Z55" s="1702"/>
      <c r="AA55" s="1703"/>
      <c r="AB55" s="1702"/>
      <c r="AC55" s="1703"/>
      <c r="AD55" s="2148">
        <f t="shared" si="21"/>
        <v>0</v>
      </c>
      <c r="AE55" s="2149">
        <f t="shared" si="5"/>
        <v>0</v>
      </c>
      <c r="AF55" s="1926">
        <f t="shared" si="6"/>
        <v>0</v>
      </c>
      <c r="AG55" s="1702"/>
      <c r="AH55" s="1703"/>
      <c r="AI55" s="1702"/>
      <c r="AJ55" s="1703"/>
      <c r="AK55" s="1702"/>
      <c r="AL55" s="1703"/>
      <c r="AM55" s="2148">
        <f t="shared" si="61"/>
        <v>0</v>
      </c>
      <c r="AN55" s="2149">
        <f t="shared" si="31"/>
        <v>0</v>
      </c>
      <c r="AO55" s="1926">
        <f t="shared" si="7"/>
        <v>0</v>
      </c>
      <c r="AP55" s="1698"/>
      <c r="AQ55" s="1699"/>
      <c r="AR55" s="1698"/>
      <c r="AS55" s="1699"/>
      <c r="AT55" s="1698"/>
      <c r="AU55" s="1699"/>
      <c r="AV55" s="1794">
        <f t="shared" si="62"/>
        <v>0</v>
      </c>
      <c r="AW55" s="1795">
        <f t="shared" si="32"/>
        <v>0</v>
      </c>
      <c r="AX55" s="1796">
        <f t="shared" si="8"/>
        <v>0</v>
      </c>
      <c r="AY55" s="1833">
        <f t="shared" si="70"/>
        <v>0</v>
      </c>
      <c r="AZ55" s="2031">
        <f t="shared" si="9"/>
        <v>124</v>
      </c>
      <c r="BA55" s="1794">
        <f t="shared" si="73"/>
        <v>741638</v>
      </c>
      <c r="BB55" s="1819">
        <f>G55+J55+V55+AE55+AN55+AW55</f>
        <v>741638</v>
      </c>
      <c r="BC55" s="1819">
        <f t="shared" si="71"/>
        <v>122</v>
      </c>
      <c r="BD55" s="2056">
        <f t="shared" si="72"/>
        <v>0</v>
      </c>
      <c r="BE55" s="2047">
        <f t="shared" si="11"/>
        <v>122</v>
      </c>
    </row>
    <row r="56" spans="1:77" ht="33.75" customHeight="1" x14ac:dyDescent="0.35">
      <c r="A56" s="1652"/>
      <c r="B56" s="1683"/>
      <c r="C56" s="3342" t="s">
        <v>665</v>
      </c>
      <c r="D56" s="3343"/>
      <c r="E56" s="2172">
        <f>5067400+1940091</f>
        <v>7007491</v>
      </c>
      <c r="F56" s="2177">
        <v>2533700</v>
      </c>
      <c r="G56" s="2178">
        <f>2116800+326624</f>
        <v>2443424</v>
      </c>
      <c r="H56" s="2179">
        <f>F56-G56</f>
        <v>90276</v>
      </c>
      <c r="I56" s="1697">
        <f>1266900+1940091</f>
        <v>3206991</v>
      </c>
      <c r="J56" s="2180">
        <f>705600+469974+2121605</f>
        <v>3297179</v>
      </c>
      <c r="K56" s="2179">
        <f>I56-J56</f>
        <v>-90188</v>
      </c>
      <c r="L56" s="2181">
        <v>1266800</v>
      </c>
      <c r="M56" s="2179">
        <v>1264788</v>
      </c>
      <c r="N56" s="2179">
        <f>L56-M56</f>
        <v>2012</v>
      </c>
      <c r="O56" s="1702"/>
      <c r="P56" s="1703">
        <f>'[18]16.โครงการ รายเดือน'!$BT$20</f>
        <v>0</v>
      </c>
      <c r="Q56" s="1702"/>
      <c r="R56" s="1703">
        <f>'[18]16.โครงการ รายเดือน'!$BU$20</f>
        <v>0</v>
      </c>
      <c r="S56" s="1702"/>
      <c r="T56" s="1703">
        <f>'[18]16.โครงการ รายเดือน'!$BV$20</f>
        <v>0</v>
      </c>
      <c r="U56" s="1726">
        <f t="shared" si="63"/>
        <v>0</v>
      </c>
      <c r="V56" s="1730">
        <f t="shared" si="19"/>
        <v>0</v>
      </c>
      <c r="W56" s="1697">
        <f t="shared" si="20"/>
        <v>0</v>
      </c>
      <c r="X56" s="1702"/>
      <c r="Y56" s="1703">
        <f>'[18]16.โครงการ รายเดือน'!$BW$20</f>
        <v>0</v>
      </c>
      <c r="Z56" s="1702"/>
      <c r="AA56" s="1703">
        <f>'[18]16.โครงการ รายเดือน'!$BX$20</f>
        <v>0</v>
      </c>
      <c r="AB56" s="1702"/>
      <c r="AC56" s="1703">
        <f>'[18]16.โครงการ รายเดือน'!$BY$20</f>
        <v>0</v>
      </c>
      <c r="AD56" s="1726">
        <f t="shared" si="21"/>
        <v>0</v>
      </c>
      <c r="AE56" s="1730">
        <f t="shared" si="5"/>
        <v>0</v>
      </c>
      <c r="AF56" s="1697">
        <f t="shared" si="6"/>
        <v>0</v>
      </c>
      <c r="AG56" s="1702"/>
      <c r="AH56" s="1703">
        <f>'[18]16.โครงการ รายเดือน'!$BZ$20</f>
        <v>0</v>
      </c>
      <c r="AI56" s="1702"/>
      <c r="AJ56" s="1703">
        <f>'[18]16.โครงการ รายเดือน'!$CA$20</f>
        <v>0</v>
      </c>
      <c r="AK56" s="1702"/>
      <c r="AL56" s="1703">
        <f>'[18]16.โครงการ รายเดือน'!$CB$20</f>
        <v>0</v>
      </c>
      <c r="AM56" s="1726">
        <f t="shared" si="61"/>
        <v>0</v>
      </c>
      <c r="AN56" s="1730">
        <f t="shared" si="31"/>
        <v>0</v>
      </c>
      <c r="AO56" s="1697">
        <f t="shared" si="7"/>
        <v>0</v>
      </c>
      <c r="AP56" s="1698"/>
      <c r="AQ56" s="1699">
        <f>'[18]16.โครงการ รายเดือน'!$CC$20</f>
        <v>0</v>
      </c>
      <c r="AR56" s="1698"/>
      <c r="AS56" s="1699">
        <f>'[18]16.โครงการ รายเดือน'!$CD$20</f>
        <v>0</v>
      </c>
      <c r="AT56" s="1698"/>
      <c r="AU56" s="1699">
        <f>'[18]16.โครงการ รายเดือน'!$CE$20</f>
        <v>0</v>
      </c>
      <c r="AV56" s="1725">
        <f t="shared" si="62"/>
        <v>0</v>
      </c>
      <c r="AW56" s="1729">
        <f t="shared" si="32"/>
        <v>0</v>
      </c>
      <c r="AX56" s="1696">
        <f t="shared" si="8"/>
        <v>0</v>
      </c>
      <c r="AY56" s="1829">
        <f t="shared" si="70"/>
        <v>90276</v>
      </c>
      <c r="AZ56" s="2031">
        <f>K56-AN56+AY56</f>
        <v>88</v>
      </c>
      <c r="BA56" s="1725">
        <f>E56+U56+AD56+AM56+AV56</f>
        <v>7007491</v>
      </c>
      <c r="BB56" s="1709">
        <f>G56+V56+AE56+AN56+AW56+J56+M56</f>
        <v>7005391</v>
      </c>
      <c r="BC56" s="1709">
        <f>BA56-BB56</f>
        <v>2100</v>
      </c>
      <c r="BD56" s="2055">
        <f t="shared" si="72"/>
        <v>2100</v>
      </c>
      <c r="BE56" s="2047">
        <f t="shared" si="11"/>
        <v>0</v>
      </c>
    </row>
    <row r="57" spans="1:77" s="1618" customFormat="1" ht="31.5" customHeight="1" x14ac:dyDescent="0.35">
      <c r="A57" s="1654"/>
      <c r="B57" s="1681"/>
      <c r="C57" s="3342" t="s">
        <v>637</v>
      </c>
      <c r="D57" s="3343"/>
      <c r="E57" s="2172">
        <f t="shared" ref="E57:J57" si="76">SUM(E58:E59)</f>
        <v>4000000</v>
      </c>
      <c r="F57" s="2177">
        <f t="shared" si="76"/>
        <v>1063200</v>
      </c>
      <c r="G57" s="2178">
        <f t="shared" si="76"/>
        <v>1043500</v>
      </c>
      <c r="H57" s="2179">
        <f t="shared" si="76"/>
        <v>19700</v>
      </c>
      <c r="I57" s="1697">
        <f t="shared" si="76"/>
        <v>1878900</v>
      </c>
      <c r="J57" s="2180">
        <f t="shared" si="76"/>
        <v>1785400</v>
      </c>
      <c r="K57" s="2179">
        <f t="shared" si="69"/>
        <v>93500</v>
      </c>
      <c r="L57" s="2181">
        <f>SUM(L58:L59)</f>
        <v>1057900</v>
      </c>
      <c r="M57" s="2181">
        <f>SUM(M58:M59)</f>
        <v>1027317</v>
      </c>
      <c r="N57" s="2151">
        <f t="shared" si="74"/>
        <v>30583</v>
      </c>
      <c r="O57" s="2182">
        <f>SUM(O58:O59)</f>
        <v>0</v>
      </c>
      <c r="P57" s="2183">
        <f t="shared" ref="P57:AX57" si="77">SUM(P58:P59)</f>
        <v>3353.38</v>
      </c>
      <c r="Q57" s="2182">
        <f t="shared" si="77"/>
        <v>0</v>
      </c>
      <c r="R57" s="2183">
        <f t="shared" si="77"/>
        <v>0</v>
      </c>
      <c r="S57" s="2182">
        <f t="shared" si="77"/>
        <v>12060</v>
      </c>
      <c r="T57" s="2183">
        <f t="shared" si="77"/>
        <v>12060</v>
      </c>
      <c r="U57" s="1726">
        <f t="shared" si="77"/>
        <v>12060</v>
      </c>
      <c r="V57" s="1730">
        <f t="shared" si="77"/>
        <v>15413.380000000001</v>
      </c>
      <c r="W57" s="1697">
        <f t="shared" si="77"/>
        <v>-3353.380000000001</v>
      </c>
      <c r="X57" s="2182">
        <f t="shared" si="77"/>
        <v>0</v>
      </c>
      <c r="Y57" s="2183">
        <f t="shared" si="77"/>
        <v>0</v>
      </c>
      <c r="Z57" s="2182">
        <f t="shared" si="77"/>
        <v>6440</v>
      </c>
      <c r="AA57" s="2183">
        <f t="shared" si="77"/>
        <v>6440</v>
      </c>
      <c r="AB57" s="2182">
        <f t="shared" si="77"/>
        <v>0</v>
      </c>
      <c r="AC57" s="2183">
        <f t="shared" si="77"/>
        <v>0</v>
      </c>
      <c r="AD57" s="1726">
        <f t="shared" si="77"/>
        <v>6440</v>
      </c>
      <c r="AE57" s="1730">
        <f t="shared" si="77"/>
        <v>6440</v>
      </c>
      <c r="AF57" s="1697">
        <f t="shared" si="77"/>
        <v>0</v>
      </c>
      <c r="AG57" s="2182">
        <f t="shared" si="77"/>
        <v>11600</v>
      </c>
      <c r="AH57" s="2183">
        <f t="shared" si="77"/>
        <v>11600</v>
      </c>
      <c r="AI57" s="2182">
        <f t="shared" si="77"/>
        <v>0</v>
      </c>
      <c r="AJ57" s="2183">
        <f t="shared" si="77"/>
        <v>0</v>
      </c>
      <c r="AK57" s="2182">
        <f t="shared" si="77"/>
        <v>25000</v>
      </c>
      <c r="AL57" s="2183">
        <f t="shared" si="77"/>
        <v>0</v>
      </c>
      <c r="AM57" s="1726">
        <f t="shared" si="77"/>
        <v>36600</v>
      </c>
      <c r="AN57" s="1730">
        <f t="shared" si="77"/>
        <v>11600</v>
      </c>
      <c r="AO57" s="1697">
        <f t="shared" si="77"/>
        <v>25000</v>
      </c>
      <c r="AP57" s="1815">
        <f t="shared" si="77"/>
        <v>25000</v>
      </c>
      <c r="AQ57" s="1816">
        <f t="shared" si="77"/>
        <v>79750</v>
      </c>
      <c r="AR57" s="1815">
        <f t="shared" si="77"/>
        <v>25000</v>
      </c>
      <c r="AS57" s="1816">
        <f t="shared" si="77"/>
        <v>28069</v>
      </c>
      <c r="AT57" s="1815">
        <f t="shared" si="77"/>
        <v>25000</v>
      </c>
      <c r="AU57" s="1816">
        <f t="shared" si="77"/>
        <v>28069</v>
      </c>
      <c r="AV57" s="1725">
        <f t="shared" si="77"/>
        <v>75000</v>
      </c>
      <c r="AW57" s="1729">
        <f t="shared" si="77"/>
        <v>135888</v>
      </c>
      <c r="AX57" s="1696">
        <f t="shared" si="77"/>
        <v>-60888</v>
      </c>
      <c r="AY57" s="1829">
        <f>H57-V57-AE57</f>
        <v>-2153.380000000001</v>
      </c>
      <c r="AZ57" s="2044">
        <f>K57-AN57+AY57</f>
        <v>79746.62</v>
      </c>
      <c r="BA57" s="1726">
        <f>SUM(BA58:BA59)</f>
        <v>3986317</v>
      </c>
      <c r="BB57" s="1709">
        <f t="shared" ref="BB57:BB63" si="78">G57+J57+V57+AE57+AN57+AW57+M57</f>
        <v>4025558.38</v>
      </c>
      <c r="BC57" s="1709">
        <f>E57-BB57</f>
        <v>-25558.379999999888</v>
      </c>
      <c r="BD57" s="2055">
        <f t="shared" si="72"/>
        <v>-39241.379999999888</v>
      </c>
      <c r="BE57" s="2047">
        <f t="shared" si="11"/>
        <v>13683</v>
      </c>
      <c r="BF57" s="1774">
        <f>E57-BA57</f>
        <v>13683</v>
      </c>
      <c r="BG57" s="385"/>
      <c r="BH57" s="385"/>
      <c r="BI57" s="385"/>
      <c r="BJ57" s="385"/>
      <c r="BK57" s="385"/>
      <c r="BL57" s="1817"/>
      <c r="BM57" s="1817"/>
      <c r="BN57" s="1817"/>
      <c r="BO57" s="1817"/>
      <c r="BP57" s="1817"/>
      <c r="BQ57" s="1817"/>
      <c r="BR57" s="1817"/>
      <c r="BS57" s="1817"/>
      <c r="BT57" s="1817"/>
      <c r="BU57" s="1817"/>
      <c r="BV57" s="1817"/>
      <c r="BW57" s="1817"/>
      <c r="BX57" s="1817"/>
      <c r="BY57" s="1817"/>
    </row>
    <row r="58" spans="1:77" ht="23.25" customHeight="1" x14ac:dyDescent="0.35">
      <c r="A58" s="1652"/>
      <c r="B58" s="1683"/>
      <c r="C58" s="1683"/>
      <c r="D58" s="1818" t="s">
        <v>3</v>
      </c>
      <c r="E58" s="2186">
        <f>F58+I58+L58</f>
        <v>954415.5</v>
      </c>
      <c r="F58" s="2187">
        <f>19642+269467.5</f>
        <v>289109.5</v>
      </c>
      <c r="G58" s="1884">
        <f>269467.5-58</f>
        <v>269409.5</v>
      </c>
      <c r="H58" s="2151">
        <f>F58-G58</f>
        <v>19700</v>
      </c>
      <c r="I58" s="1926">
        <v>499989</v>
      </c>
      <c r="J58" s="2175">
        <v>406489</v>
      </c>
      <c r="K58" s="2151">
        <f t="shared" si="69"/>
        <v>93500</v>
      </c>
      <c r="L58" s="2042">
        <f>M58+AV58-44417</f>
        <v>165317</v>
      </c>
      <c r="M58" s="2151">
        <v>134734</v>
      </c>
      <c r="N58" s="2151">
        <f t="shared" si="74"/>
        <v>30583</v>
      </c>
      <c r="O58" s="1702">
        <v>0</v>
      </c>
      <c r="P58" s="1703">
        <f>'[12]16.โครงการ รายเดือน'!$P$20</f>
        <v>3353.38</v>
      </c>
      <c r="Q58" s="1702">
        <v>0</v>
      </c>
      <c r="R58" s="1703">
        <f>'[12]16.โครงการ รายเดือน'!$Q$20</f>
        <v>0</v>
      </c>
      <c r="S58" s="1702">
        <v>12060</v>
      </c>
      <c r="T58" s="1703">
        <f>'[12]16.โครงการ รายเดือน'!$R$20</f>
        <v>12060</v>
      </c>
      <c r="U58" s="2148">
        <f t="shared" si="63"/>
        <v>12060</v>
      </c>
      <c r="V58" s="2149">
        <f t="shared" si="19"/>
        <v>15413.380000000001</v>
      </c>
      <c r="W58" s="1926">
        <f t="shared" si="20"/>
        <v>-3353.380000000001</v>
      </c>
      <c r="X58" s="1702">
        <v>0</v>
      </c>
      <c r="Y58" s="1703">
        <f>'[12]16.โครงการ รายเดือน'!$S$20</f>
        <v>0</v>
      </c>
      <c r="Z58" s="1702">
        <v>6440</v>
      </c>
      <c r="AA58" s="1703">
        <f>'[12]16.โครงการ รายเดือน'!$T$20</f>
        <v>6440</v>
      </c>
      <c r="AB58" s="1702">
        <f>[21]สสป!$G$82</f>
        <v>0</v>
      </c>
      <c r="AC58" s="1703">
        <f>'[12]16.โครงการ รายเดือน'!$U$20</f>
        <v>0</v>
      </c>
      <c r="AD58" s="2148">
        <f t="shared" si="21"/>
        <v>6440</v>
      </c>
      <c r="AE58" s="2149">
        <f t="shared" si="5"/>
        <v>6440</v>
      </c>
      <c r="AF58" s="1926">
        <f t="shared" si="6"/>
        <v>0</v>
      </c>
      <c r="AG58" s="1702">
        <v>11600</v>
      </c>
      <c r="AH58" s="1703">
        <f>'[12]16.โครงการ รายเดือน'!$V$20</f>
        <v>11600</v>
      </c>
      <c r="AI58" s="1702">
        <f>[21]สสป!$I$82</f>
        <v>0</v>
      </c>
      <c r="AJ58" s="1703">
        <f>'[12]16.โครงการ รายเดือน'!$W$20</f>
        <v>0</v>
      </c>
      <c r="AK58" s="1702">
        <f>[21]สสป!$J$82</f>
        <v>25000</v>
      </c>
      <c r="AL58" s="1703">
        <f>'[12]16.โครงการ รายเดือน'!$X$20</f>
        <v>0</v>
      </c>
      <c r="AM58" s="2148">
        <f t="shared" si="61"/>
        <v>36600</v>
      </c>
      <c r="AN58" s="2149">
        <f t="shared" si="31"/>
        <v>11600</v>
      </c>
      <c r="AO58" s="1926">
        <f t="shared" si="7"/>
        <v>25000</v>
      </c>
      <c r="AP58" s="1698">
        <f>[21]สสป!$K$82</f>
        <v>25000</v>
      </c>
      <c r="AQ58" s="1699">
        <f>'[12]16.โครงการ รายเดือน'!$Y$20</f>
        <v>79750</v>
      </c>
      <c r="AR58" s="1698">
        <f>[21]สสป!$L$82</f>
        <v>25000</v>
      </c>
      <c r="AS58" s="1699">
        <f>'[12]16.โครงการ รายเดือน'!$Z$20</f>
        <v>28069</v>
      </c>
      <c r="AT58" s="1698">
        <f>[21]สสป!$M$82</f>
        <v>25000</v>
      </c>
      <c r="AU58" s="1699">
        <f>'[12]16.โครงการ รายเดือน'!$Z$20</f>
        <v>28069</v>
      </c>
      <c r="AV58" s="1794">
        <f t="shared" si="62"/>
        <v>75000</v>
      </c>
      <c r="AW58" s="1795">
        <f t="shared" si="32"/>
        <v>135888</v>
      </c>
      <c r="AX58" s="1796">
        <f t="shared" si="8"/>
        <v>-60888</v>
      </c>
      <c r="AY58" s="1829">
        <f t="shared" si="70"/>
        <v>-2153.380000000001</v>
      </c>
      <c r="AZ58" s="2031">
        <f>K58-AN58+AY58</f>
        <v>79746.62</v>
      </c>
      <c r="BA58" s="1794">
        <f>G58+J58+M58+U58+AD58+AM58+AV58</f>
        <v>940732.5</v>
      </c>
      <c r="BB58" s="1819">
        <f t="shared" si="78"/>
        <v>979973.88</v>
      </c>
      <c r="BC58" s="1819">
        <f>E58-BB58</f>
        <v>-25558.380000000005</v>
      </c>
      <c r="BD58" s="2056">
        <f t="shared" si="72"/>
        <v>-39241.380000000005</v>
      </c>
      <c r="BE58" s="2047">
        <f t="shared" si="11"/>
        <v>13683</v>
      </c>
    </row>
    <row r="59" spans="1:77" ht="23.25" customHeight="1" x14ac:dyDescent="0.35">
      <c r="A59" s="1652"/>
      <c r="B59" s="1683"/>
      <c r="C59" s="1683"/>
      <c r="D59" s="1818" t="s">
        <v>20</v>
      </c>
      <c r="E59" s="2186">
        <f>F59+I59+L59</f>
        <v>3045584.5</v>
      </c>
      <c r="F59" s="2187">
        <v>774090.5</v>
      </c>
      <c r="G59" s="1884">
        <v>774090.5</v>
      </c>
      <c r="H59" s="2151">
        <f>F59-G59</f>
        <v>0</v>
      </c>
      <c r="I59" s="1926">
        <f>1441611-62700</f>
        <v>1378911</v>
      </c>
      <c r="J59" s="2175">
        <f>1238001+140910</f>
        <v>1378911</v>
      </c>
      <c r="K59" s="2151">
        <f t="shared" si="69"/>
        <v>0</v>
      </c>
      <c r="L59" s="2042">
        <f>848166+44417</f>
        <v>892583</v>
      </c>
      <c r="M59" s="2151">
        <v>892583</v>
      </c>
      <c r="N59" s="2151">
        <f t="shared" si="74"/>
        <v>0</v>
      </c>
      <c r="O59" s="1702">
        <v>0</v>
      </c>
      <c r="P59" s="1703">
        <f>'[16]16.โครงการ รายเดือน'!$P$20</f>
        <v>0</v>
      </c>
      <c r="Q59" s="1702"/>
      <c r="R59" s="1703">
        <v>0</v>
      </c>
      <c r="S59" s="1702"/>
      <c r="T59" s="1703">
        <f>'[16]16.โครงการ รายเดือน'!$R$20</f>
        <v>0</v>
      </c>
      <c r="U59" s="2148">
        <f t="shared" si="63"/>
        <v>0</v>
      </c>
      <c r="V59" s="2149">
        <f t="shared" si="19"/>
        <v>0</v>
      </c>
      <c r="W59" s="1926">
        <f t="shared" si="20"/>
        <v>0</v>
      </c>
      <c r="X59" s="1702"/>
      <c r="Y59" s="1703">
        <f>'[16]16.โครงการ รายเดือน'!$S$20</f>
        <v>0</v>
      </c>
      <c r="Z59" s="1702"/>
      <c r="AA59" s="1703">
        <f>'[16]16.โครงการ รายเดือน'!$T$20</f>
        <v>0</v>
      </c>
      <c r="AB59" s="1702"/>
      <c r="AC59" s="1703">
        <f>'[16]16.โครงการ รายเดือน'!$U$20</f>
        <v>0</v>
      </c>
      <c r="AD59" s="2148">
        <f t="shared" si="21"/>
        <v>0</v>
      </c>
      <c r="AE59" s="2149">
        <f t="shared" si="5"/>
        <v>0</v>
      </c>
      <c r="AF59" s="1926">
        <f t="shared" si="6"/>
        <v>0</v>
      </c>
      <c r="AG59" s="1702"/>
      <c r="AH59" s="1703">
        <f>'[16]16.โครงการ รายเดือน'!$V$20</f>
        <v>0</v>
      </c>
      <c r="AI59" s="1702"/>
      <c r="AJ59" s="1703">
        <f>'[16]16.โครงการ รายเดือน'!$W$20</f>
        <v>0</v>
      </c>
      <c r="AK59" s="1702"/>
      <c r="AL59" s="1703">
        <f>'[16]16.โครงการ รายเดือน'!$X$20</f>
        <v>0</v>
      </c>
      <c r="AM59" s="2148">
        <f t="shared" si="61"/>
        <v>0</v>
      </c>
      <c r="AN59" s="2149">
        <f t="shared" si="31"/>
        <v>0</v>
      </c>
      <c r="AO59" s="1926">
        <f t="shared" si="7"/>
        <v>0</v>
      </c>
      <c r="AP59" s="1698"/>
      <c r="AQ59" s="1699">
        <f>'[16]16.โครงการ รายเดือน'!$Y$20</f>
        <v>0</v>
      </c>
      <c r="AR59" s="1698"/>
      <c r="AS59" s="1699">
        <f>'[16]16.โครงการ รายเดือน'!$Z$20</f>
        <v>0</v>
      </c>
      <c r="AT59" s="1698"/>
      <c r="AU59" s="1699">
        <f>'[16]16.โครงการ รายเดือน'!$AA$20</f>
        <v>0</v>
      </c>
      <c r="AV59" s="1794">
        <f t="shared" si="62"/>
        <v>0</v>
      </c>
      <c r="AW59" s="1795">
        <f t="shared" si="32"/>
        <v>0</v>
      </c>
      <c r="AX59" s="1796">
        <f t="shared" si="8"/>
        <v>0</v>
      </c>
      <c r="AY59" s="1829">
        <f>H59-V59-AE59</f>
        <v>0</v>
      </c>
      <c r="AZ59" s="2031">
        <f>K59-AN59+AY59</f>
        <v>0</v>
      </c>
      <c r="BA59" s="1794">
        <f>G59+J59+M59+U59+AD59+AM59+AV59</f>
        <v>3045584.5</v>
      </c>
      <c r="BB59" s="1819">
        <f t="shared" si="78"/>
        <v>3045584.5</v>
      </c>
      <c r="BC59" s="1819">
        <f>E59-BB59</f>
        <v>0</v>
      </c>
      <c r="BD59" s="2056">
        <f t="shared" si="72"/>
        <v>0</v>
      </c>
      <c r="BE59" s="2047">
        <f t="shared" si="11"/>
        <v>0</v>
      </c>
    </row>
    <row r="60" spans="1:77" ht="34.5" customHeight="1" x14ac:dyDescent="0.35">
      <c r="A60" s="1652"/>
      <c r="B60" s="3344" t="s">
        <v>668</v>
      </c>
      <c r="C60" s="3344"/>
      <c r="D60" s="3345"/>
      <c r="E60" s="2172">
        <f>E61+E62+E63</f>
        <v>10703000</v>
      </c>
      <c r="F60" s="2177">
        <f>SUM(F61:F63)</f>
        <v>5351500</v>
      </c>
      <c r="G60" s="2178">
        <f>SUM(G61:G63)</f>
        <v>1408800</v>
      </c>
      <c r="H60" s="2174">
        <f>SUM(H61:H63)</f>
        <v>3942700</v>
      </c>
      <c r="I60" s="1697">
        <f>SUM(I61:I63)</f>
        <v>2675800</v>
      </c>
      <c r="J60" s="2180">
        <f>SUM(J61:J63)</f>
        <v>6089700</v>
      </c>
      <c r="K60" s="2174">
        <f t="shared" si="69"/>
        <v>-3413900</v>
      </c>
      <c r="L60" s="2042">
        <f>SUM(L61:L63)</f>
        <v>2675700</v>
      </c>
      <c r="M60" s="2174">
        <f>SUM(M61:M63)</f>
        <v>2409360</v>
      </c>
      <c r="N60" s="2179">
        <f t="shared" si="74"/>
        <v>266340</v>
      </c>
      <c r="O60" s="1702">
        <f>SUM(O61:O63)</f>
        <v>0</v>
      </c>
      <c r="P60" s="1703">
        <f t="shared" ref="P60:AX60" si="79">SUM(P61:P63)</f>
        <v>0</v>
      </c>
      <c r="Q60" s="1702">
        <f t="shared" si="79"/>
        <v>0</v>
      </c>
      <c r="R60" s="1703">
        <f t="shared" si="79"/>
        <v>0</v>
      </c>
      <c r="S60" s="2182">
        <f t="shared" si="79"/>
        <v>770</v>
      </c>
      <c r="T60" s="2183">
        <f t="shared" si="79"/>
        <v>770</v>
      </c>
      <c r="U60" s="1726">
        <f t="shared" si="79"/>
        <v>770</v>
      </c>
      <c r="V60" s="1730">
        <f t="shared" si="79"/>
        <v>770</v>
      </c>
      <c r="W60" s="1697">
        <f t="shared" si="79"/>
        <v>0</v>
      </c>
      <c r="X60" s="2182">
        <f t="shared" si="79"/>
        <v>59370</v>
      </c>
      <c r="Y60" s="2183">
        <f t="shared" si="79"/>
        <v>59370</v>
      </c>
      <c r="Z60" s="2182">
        <f t="shared" si="79"/>
        <v>0</v>
      </c>
      <c r="AA60" s="1703">
        <f t="shared" si="79"/>
        <v>0</v>
      </c>
      <c r="AB60" s="2182">
        <f t="shared" si="79"/>
        <v>5075</v>
      </c>
      <c r="AC60" s="2183">
        <f t="shared" si="79"/>
        <v>1575</v>
      </c>
      <c r="AD60" s="1726">
        <f t="shared" si="79"/>
        <v>64445</v>
      </c>
      <c r="AE60" s="1730">
        <f t="shared" si="79"/>
        <v>60945</v>
      </c>
      <c r="AF60" s="1697">
        <f t="shared" si="79"/>
        <v>3500</v>
      </c>
      <c r="AG60" s="2182">
        <f t="shared" si="79"/>
        <v>700</v>
      </c>
      <c r="AH60" s="2183">
        <f t="shared" si="79"/>
        <v>700</v>
      </c>
      <c r="AI60" s="2182">
        <f t="shared" si="79"/>
        <v>0</v>
      </c>
      <c r="AJ60" s="2183">
        <f t="shared" si="79"/>
        <v>16460</v>
      </c>
      <c r="AK60" s="2182">
        <f t="shared" si="79"/>
        <v>35200</v>
      </c>
      <c r="AL60" s="2183">
        <f t="shared" si="79"/>
        <v>433874.3</v>
      </c>
      <c r="AM60" s="1726">
        <f t="shared" si="79"/>
        <v>35900</v>
      </c>
      <c r="AN60" s="1730">
        <f t="shared" si="79"/>
        <v>451034.3</v>
      </c>
      <c r="AO60" s="1697">
        <f t="shared" si="79"/>
        <v>-415134.3</v>
      </c>
      <c r="AP60" s="1815">
        <f t="shared" si="79"/>
        <v>671725</v>
      </c>
      <c r="AQ60" s="1816">
        <f t="shared" si="79"/>
        <v>36594</v>
      </c>
      <c r="AR60" s="1815">
        <f t="shared" si="79"/>
        <v>15000</v>
      </c>
      <c r="AS60" s="1816">
        <f t="shared" si="79"/>
        <v>14380</v>
      </c>
      <c r="AT60" s="1815">
        <f t="shared" si="79"/>
        <v>7300</v>
      </c>
      <c r="AU60" s="1816">
        <f t="shared" si="79"/>
        <v>132490</v>
      </c>
      <c r="AV60" s="1725">
        <f t="shared" si="79"/>
        <v>694025</v>
      </c>
      <c r="AW60" s="1729">
        <f t="shared" si="79"/>
        <v>183464</v>
      </c>
      <c r="AX60" s="1696">
        <f t="shared" si="79"/>
        <v>510561</v>
      </c>
      <c r="AY60" s="1829">
        <f t="shared" si="70"/>
        <v>3880985</v>
      </c>
      <c r="AZ60" s="2044">
        <f t="shared" si="9"/>
        <v>16050.700000000186</v>
      </c>
      <c r="BA60" s="1725">
        <f>SUM(BA61:BA63)</f>
        <v>10703000</v>
      </c>
      <c r="BB60" s="1709">
        <f t="shared" si="78"/>
        <v>10604073.300000001</v>
      </c>
      <c r="BC60" s="1709">
        <f>E60-BB60</f>
        <v>98926.699999999255</v>
      </c>
      <c r="BD60" s="2055">
        <f t="shared" si="72"/>
        <v>98926.699999999255</v>
      </c>
      <c r="BE60" s="2047">
        <f t="shared" si="11"/>
        <v>0</v>
      </c>
    </row>
    <row r="61" spans="1:77" ht="24" customHeight="1" x14ac:dyDescent="0.35">
      <c r="A61" s="1652"/>
      <c r="B61" s="1683"/>
      <c r="C61" s="3340" t="s">
        <v>782</v>
      </c>
      <c r="D61" s="3341"/>
      <c r="E61" s="2184">
        <v>1500000</v>
      </c>
      <c r="F61" s="2185">
        <v>750000</v>
      </c>
      <c r="G61" s="1884">
        <v>750000</v>
      </c>
      <c r="H61" s="2151">
        <f>F61-G61</f>
        <v>0</v>
      </c>
      <c r="I61" s="1926">
        <v>375000</v>
      </c>
      <c r="J61" s="2175">
        <v>375000</v>
      </c>
      <c r="K61" s="2151">
        <f t="shared" si="69"/>
        <v>0</v>
      </c>
      <c r="L61" s="2042">
        <v>375000</v>
      </c>
      <c r="M61" s="2151">
        <v>375000</v>
      </c>
      <c r="N61" s="2151">
        <f t="shared" si="74"/>
        <v>0</v>
      </c>
      <c r="O61" s="1702"/>
      <c r="P61" s="1703">
        <f>'[18]16.โครงการ รายเดือน'!$BF$20</f>
        <v>0</v>
      </c>
      <c r="Q61" s="1702"/>
      <c r="R61" s="1703">
        <f>'[18]16.โครงการ รายเดือน'!$BG$20</f>
        <v>0</v>
      </c>
      <c r="S61" s="1702"/>
      <c r="T61" s="1703"/>
      <c r="U61" s="2148">
        <f t="shared" si="63"/>
        <v>0</v>
      </c>
      <c r="V61" s="2149">
        <f t="shared" si="19"/>
        <v>0</v>
      </c>
      <c r="W61" s="1926">
        <f t="shared" si="20"/>
        <v>0</v>
      </c>
      <c r="X61" s="1702"/>
      <c r="Y61" s="1703"/>
      <c r="Z61" s="1702"/>
      <c r="AA61" s="1703">
        <f>'[18]16.โครงการ รายเดือน'!$BJ$20</f>
        <v>0</v>
      </c>
      <c r="AB61" s="1702"/>
      <c r="AC61" s="1703">
        <f>'[18]16.โครงการ รายเดือน'!$BK$20</f>
        <v>0</v>
      </c>
      <c r="AD61" s="2148">
        <f t="shared" si="21"/>
        <v>0</v>
      </c>
      <c r="AE61" s="2149">
        <f t="shared" si="5"/>
        <v>0</v>
      </c>
      <c r="AF61" s="1926">
        <f t="shared" si="6"/>
        <v>0</v>
      </c>
      <c r="AG61" s="1702"/>
      <c r="AH61" s="1703">
        <f>'[18]16.โครงการ รายเดือน'!$BL$20</f>
        <v>0</v>
      </c>
      <c r="AI61" s="1702"/>
      <c r="AJ61" s="1703">
        <f>'[18]16.โครงการ รายเดือน'!$BM$20</f>
        <v>0</v>
      </c>
      <c r="AK61" s="1702"/>
      <c r="AL61" s="1703">
        <f>'[18]16.โครงการ รายเดือน'!$BN$20</f>
        <v>0</v>
      </c>
      <c r="AM61" s="2148">
        <f t="shared" si="61"/>
        <v>0</v>
      </c>
      <c r="AN61" s="2149">
        <f t="shared" si="31"/>
        <v>0</v>
      </c>
      <c r="AO61" s="1926">
        <f t="shared" si="7"/>
        <v>0</v>
      </c>
      <c r="AP61" s="1698"/>
      <c r="AQ61" s="1699">
        <f>'[18]16.โครงการ รายเดือน'!$BO$20</f>
        <v>0</v>
      </c>
      <c r="AR61" s="1698"/>
      <c r="AS61" s="1699">
        <f>'[18]16.โครงการ รายเดือน'!$BP$20</f>
        <v>0</v>
      </c>
      <c r="AT61" s="1698"/>
      <c r="AU61" s="1699">
        <f>'[18]16.โครงการ รายเดือน'!$BQ$20</f>
        <v>0</v>
      </c>
      <c r="AV61" s="1794">
        <f t="shared" si="62"/>
        <v>0</v>
      </c>
      <c r="AW61" s="1795">
        <f t="shared" si="32"/>
        <v>0</v>
      </c>
      <c r="AX61" s="1796">
        <f t="shared" si="8"/>
        <v>0</v>
      </c>
      <c r="AY61" s="1829">
        <f t="shared" si="70"/>
        <v>0</v>
      </c>
      <c r="AZ61" s="2031">
        <f t="shared" si="9"/>
        <v>0</v>
      </c>
      <c r="BA61" s="1794">
        <f>G61+J61+M61+U61+AD61+AM61+AV61</f>
        <v>1500000</v>
      </c>
      <c r="BB61" s="1819">
        <f t="shared" si="78"/>
        <v>1500000</v>
      </c>
      <c r="BC61" s="1819">
        <f>BA61-BB61</f>
        <v>0</v>
      </c>
      <c r="BD61" s="2056"/>
      <c r="BE61" s="2047">
        <f t="shared" si="11"/>
        <v>0</v>
      </c>
    </row>
    <row r="62" spans="1:77" ht="36" customHeight="1" x14ac:dyDescent="0.35">
      <c r="A62" s="1652"/>
      <c r="B62" s="1683"/>
      <c r="C62" s="3340" t="s">
        <v>639</v>
      </c>
      <c r="D62" s="3341"/>
      <c r="E62" s="2184">
        <v>7703000</v>
      </c>
      <c r="F62" s="2185">
        <v>3941500</v>
      </c>
      <c r="G62" s="1884">
        <v>0</v>
      </c>
      <c r="H62" s="2151">
        <f>F62-G62</f>
        <v>3941500</v>
      </c>
      <c r="I62" s="1926">
        <v>1460800</v>
      </c>
      <c r="J62" s="2175">
        <f>1453000+3447300</f>
        <v>4900300</v>
      </c>
      <c r="K62" s="2151">
        <f t="shared" si="69"/>
        <v>-3439500</v>
      </c>
      <c r="L62" s="2042">
        <v>2300700</v>
      </c>
      <c r="M62" s="2151">
        <v>2034360</v>
      </c>
      <c r="N62" s="2151">
        <f t="shared" si="74"/>
        <v>266340</v>
      </c>
      <c r="O62" s="1702"/>
      <c r="P62" s="1703">
        <f>'[18]16.โครงการ รายเดือน'!$CV$20</f>
        <v>0</v>
      </c>
      <c r="Q62" s="1702"/>
      <c r="R62" s="1703">
        <f>'[18]16.โครงการ รายเดือน'!$CW$20</f>
        <v>0</v>
      </c>
      <c r="S62" s="1702">
        <v>770</v>
      </c>
      <c r="T62" s="1703">
        <f>'[18]สรุป สปข.รายเดือน'!$T$6</f>
        <v>770</v>
      </c>
      <c r="U62" s="2148">
        <f t="shared" si="63"/>
        <v>770</v>
      </c>
      <c r="V62" s="2149">
        <f t="shared" si="19"/>
        <v>770</v>
      </c>
      <c r="W62" s="1926">
        <f t="shared" si="20"/>
        <v>0</v>
      </c>
      <c r="X62" s="1702">
        <v>59370</v>
      </c>
      <c r="Y62" s="1703">
        <f>'[18]สรุป สปข.รายเดือน'!$T$7</f>
        <v>59370</v>
      </c>
      <c r="Z62" s="1702">
        <v>0</v>
      </c>
      <c r="AA62" s="1703">
        <f>'[18]16.โครงการ รายเดือน'!$CZ$20</f>
        <v>0</v>
      </c>
      <c r="AB62" s="1702">
        <v>1575</v>
      </c>
      <c r="AC62" s="1703">
        <f>'[18]16.โครงการ รายเดือน'!$DA$20</f>
        <v>1575</v>
      </c>
      <c r="AD62" s="2148">
        <f t="shared" si="21"/>
        <v>60945</v>
      </c>
      <c r="AE62" s="2149">
        <f t="shared" si="5"/>
        <v>60945</v>
      </c>
      <c r="AF62" s="1926">
        <f t="shared" si="6"/>
        <v>0</v>
      </c>
      <c r="AG62" s="1702">
        <v>700</v>
      </c>
      <c r="AH62" s="1703">
        <f>'[18]16.โครงการ รายเดือน'!$DB$20</f>
        <v>700</v>
      </c>
      <c r="AI62" s="1702">
        <v>0</v>
      </c>
      <c r="AJ62" s="1703">
        <f>'[18]16.โครงการ รายเดือน'!$DC$20</f>
        <v>0</v>
      </c>
      <c r="AK62" s="1702">
        <f>[22]อกม.!$C$10</f>
        <v>34200</v>
      </c>
      <c r="AL62" s="1703">
        <f>'[18]16.โครงการ รายเดือน'!$DD$20</f>
        <v>433874.3</v>
      </c>
      <c r="AM62" s="2148">
        <f t="shared" si="61"/>
        <v>34900</v>
      </c>
      <c r="AN62" s="2149">
        <f t="shared" si="31"/>
        <v>434574.3</v>
      </c>
      <c r="AO62" s="1926">
        <f t="shared" si="7"/>
        <v>-399674.3</v>
      </c>
      <c r="AP62" s="1698">
        <f>[22]อกม.!$D$10+438730</f>
        <v>671725</v>
      </c>
      <c r="AQ62" s="1699">
        <f>'[18]16.โครงการ รายเดือน'!$DE$20</f>
        <v>36594</v>
      </c>
      <c r="AR62" s="1698">
        <v>0</v>
      </c>
      <c r="AS62" s="1699">
        <f>'[18]16.โครงการ รายเดือน'!$DF$20</f>
        <v>14380</v>
      </c>
      <c r="AT62" s="1698">
        <v>0</v>
      </c>
      <c r="AU62" s="1699">
        <f>'[18]16.โครงการ รายเดือน'!$DG$20</f>
        <v>132490</v>
      </c>
      <c r="AV62" s="1794">
        <f t="shared" si="62"/>
        <v>671725</v>
      </c>
      <c r="AW62" s="1795">
        <f t="shared" si="32"/>
        <v>183464</v>
      </c>
      <c r="AX62" s="1796">
        <f t="shared" si="8"/>
        <v>488261</v>
      </c>
      <c r="AY62" s="1833">
        <f>H62-V62-AE62</f>
        <v>3879785</v>
      </c>
      <c r="AZ62" s="2031">
        <f>K62-AN62+AY62</f>
        <v>5710.7000000001863</v>
      </c>
      <c r="BA62" s="1794">
        <f>G62+J62+M62+U62+AD62+AM62+AV62</f>
        <v>7703000</v>
      </c>
      <c r="BB62" s="1819">
        <f t="shared" si="78"/>
        <v>7614413.2999999998</v>
      </c>
      <c r="BC62" s="1819">
        <f>E62-BB62</f>
        <v>88586.700000000186</v>
      </c>
      <c r="BD62" s="2056">
        <f>BA62-BB62</f>
        <v>88586.700000000186</v>
      </c>
      <c r="BE62" s="2047">
        <f t="shared" si="11"/>
        <v>0</v>
      </c>
    </row>
    <row r="63" spans="1:77" ht="34.5" customHeight="1" thickBot="1" x14ac:dyDescent="0.4">
      <c r="A63" s="1652"/>
      <c r="B63" s="1683"/>
      <c r="C63" s="3340" t="s">
        <v>781</v>
      </c>
      <c r="D63" s="3341"/>
      <c r="E63" s="2186">
        <v>1500000</v>
      </c>
      <c r="F63" s="2188">
        <v>660000</v>
      </c>
      <c r="G63" s="2189">
        <v>658800</v>
      </c>
      <c r="H63" s="2151">
        <f>F63-G63</f>
        <v>1200</v>
      </c>
      <c r="I63" s="1926">
        <v>840000</v>
      </c>
      <c r="J63" s="2175">
        <v>814400</v>
      </c>
      <c r="K63" s="2151">
        <f t="shared" si="69"/>
        <v>25600</v>
      </c>
      <c r="L63" s="2042">
        <v>0</v>
      </c>
      <c r="M63" s="2151">
        <v>0</v>
      </c>
      <c r="N63" s="2151">
        <f t="shared" si="74"/>
        <v>0</v>
      </c>
      <c r="O63" s="1702"/>
      <c r="P63" s="1703"/>
      <c r="Q63" s="1702"/>
      <c r="R63" s="1703"/>
      <c r="S63" s="1702"/>
      <c r="T63" s="1703"/>
      <c r="U63" s="2148">
        <f t="shared" si="63"/>
        <v>0</v>
      </c>
      <c r="V63" s="2149">
        <f t="shared" si="19"/>
        <v>0</v>
      </c>
      <c r="W63" s="1926">
        <f t="shared" si="20"/>
        <v>0</v>
      </c>
      <c r="X63" s="1702"/>
      <c r="Y63" s="1703"/>
      <c r="Z63" s="1702">
        <f>[21]สกก!$F$107</f>
        <v>0</v>
      </c>
      <c r="AA63" s="1703"/>
      <c r="AB63" s="1702">
        <f>[21]สกก!$G$107</f>
        <v>3500</v>
      </c>
      <c r="AC63" s="1703"/>
      <c r="AD63" s="2148">
        <f t="shared" si="21"/>
        <v>3500</v>
      </c>
      <c r="AE63" s="2149">
        <f t="shared" si="5"/>
        <v>0</v>
      </c>
      <c r="AF63" s="1926">
        <f t="shared" si="6"/>
        <v>3500</v>
      </c>
      <c r="AG63" s="1702"/>
      <c r="AH63" s="1703"/>
      <c r="AI63" s="1702"/>
      <c r="AJ63" s="1703">
        <f>'[15]16.โครงการรายเดือน'!$BM$20</f>
        <v>16460</v>
      </c>
      <c r="AK63" s="1702">
        <f>[21]สกก!$J$107</f>
        <v>1000</v>
      </c>
      <c r="AL63" s="1703"/>
      <c r="AM63" s="2148">
        <f t="shared" si="61"/>
        <v>1000</v>
      </c>
      <c r="AN63" s="2149">
        <f t="shared" si="31"/>
        <v>16460</v>
      </c>
      <c r="AO63" s="1926">
        <f t="shared" si="7"/>
        <v>-15460</v>
      </c>
      <c r="AP63" s="1698"/>
      <c r="AQ63" s="1699"/>
      <c r="AR63" s="1698">
        <f>[21]สกก!$L$107</f>
        <v>15000</v>
      </c>
      <c r="AS63" s="1699"/>
      <c r="AT63" s="1698">
        <f>[21]สกก!$M$107</f>
        <v>7300</v>
      </c>
      <c r="AU63" s="1699"/>
      <c r="AV63" s="1794">
        <f t="shared" si="62"/>
        <v>22300</v>
      </c>
      <c r="AW63" s="1795">
        <f t="shared" si="32"/>
        <v>0</v>
      </c>
      <c r="AX63" s="1796">
        <f t="shared" si="8"/>
        <v>22300</v>
      </c>
      <c r="AY63" s="1833">
        <f t="shared" si="70"/>
        <v>1200</v>
      </c>
      <c r="AZ63" s="2032">
        <f>K63-AN63+AY63</f>
        <v>10340</v>
      </c>
      <c r="BA63" s="1794">
        <f>G63+J63+M63+U63+AD63+AM63+AV63</f>
        <v>1500000</v>
      </c>
      <c r="BB63" s="1819">
        <f t="shared" si="78"/>
        <v>1489660</v>
      </c>
      <c r="BC63" s="1819">
        <f>E63-BB63</f>
        <v>10340</v>
      </c>
      <c r="BD63" s="2056">
        <f>BA63-BB63</f>
        <v>10340</v>
      </c>
      <c r="BE63" s="2047">
        <f t="shared" si="11"/>
        <v>0</v>
      </c>
      <c r="BF63" s="395" t="s">
        <v>669</v>
      </c>
      <c r="BG63" s="595"/>
      <c r="BH63" s="595"/>
      <c r="BI63" s="595"/>
    </row>
    <row r="64" spans="1:77" ht="26.25" customHeight="1" thickBot="1" x14ac:dyDescent="0.4">
      <c r="A64" s="1687"/>
      <c r="B64" s="1689"/>
      <c r="C64" s="1688" t="s">
        <v>28</v>
      </c>
      <c r="D64" s="1686"/>
      <c r="E64" s="2190">
        <f>E5+E26+E42</f>
        <v>93769791</v>
      </c>
      <c r="F64" s="2191">
        <f>F5+F26+F43+F46+F48+F49+F52+F56+F57+F60</f>
        <v>65478550</v>
      </c>
      <c r="G64" s="2192">
        <f>G6+G42</f>
        <v>10938924</v>
      </c>
      <c r="H64" s="2193">
        <f>F64-G64</f>
        <v>54539626</v>
      </c>
      <c r="I64" s="2193">
        <f>I6+I26+I42</f>
        <v>4074423</v>
      </c>
      <c r="J64" s="2193">
        <f>J6+J42</f>
        <v>463503</v>
      </c>
      <c r="K64" s="2193">
        <f>K5+K26+K43+K46+K48+K49+K52+K56+K57+K60</f>
        <v>-3307036</v>
      </c>
      <c r="L64" s="2193">
        <f>L6+L26+L42</f>
        <v>4750208</v>
      </c>
      <c r="M64" s="2193">
        <f>M6+M26+M42</f>
        <v>83723</v>
      </c>
      <c r="N64" s="2193">
        <f>N6+N26+N42</f>
        <v>4666485</v>
      </c>
      <c r="O64" s="2193">
        <f t="shared" ref="O64:T64" si="80">O6+O26+O42</f>
        <v>1706204</v>
      </c>
      <c r="P64" s="2193" t="e">
        <f t="shared" si="80"/>
        <v>#REF!</v>
      </c>
      <c r="Q64" s="2193">
        <f t="shared" si="80"/>
        <v>1733943</v>
      </c>
      <c r="R64" s="2193" t="e">
        <f t="shared" si="80"/>
        <v>#REF!</v>
      </c>
      <c r="S64" s="2193">
        <f t="shared" si="80"/>
        <v>2699322</v>
      </c>
      <c r="T64" s="2193" t="e">
        <f t="shared" si="80"/>
        <v>#REF!</v>
      </c>
      <c r="U64" s="2193">
        <f ca="1">U6+U42+U26</f>
        <v>7146369</v>
      </c>
      <c r="V64" s="2193" t="e">
        <f>V6+V26+V42</f>
        <v>#REF!</v>
      </c>
      <c r="W64" s="2193">
        <f t="shared" ca="1" si="20"/>
        <v>1966593.4499999993</v>
      </c>
      <c r="X64" s="2193">
        <f t="shared" ref="X64:AE64" si="81">X6+X26+X42</f>
        <v>1725267</v>
      </c>
      <c r="Y64" s="2193" t="e">
        <f t="shared" si="81"/>
        <v>#REF!</v>
      </c>
      <c r="Z64" s="2193">
        <f t="shared" si="81"/>
        <v>3701837</v>
      </c>
      <c r="AA64" s="2193" t="e">
        <f t="shared" si="81"/>
        <v>#REF!</v>
      </c>
      <c r="AB64" s="2193">
        <f t="shared" si="81"/>
        <v>23621053</v>
      </c>
      <c r="AC64" s="2193" t="e">
        <f t="shared" si="81"/>
        <v>#REF!</v>
      </c>
      <c r="AD64" s="2193">
        <f t="shared" si="81"/>
        <v>29048157</v>
      </c>
      <c r="AE64" s="2193" t="e">
        <f t="shared" si="81"/>
        <v>#REF!</v>
      </c>
      <c r="AF64" s="2193" t="e">
        <f>AD64-AE64</f>
        <v>#REF!</v>
      </c>
      <c r="AG64" s="2193"/>
      <c r="AH64" s="2193"/>
      <c r="AI64" s="2193"/>
      <c r="AJ64" s="2193"/>
      <c r="AK64" s="2193"/>
      <c r="AL64" s="2193"/>
      <c r="AM64" s="2193"/>
      <c r="AN64" s="2193"/>
      <c r="AO64" s="2193"/>
      <c r="AP64" s="1736"/>
      <c r="AQ64" s="1736"/>
      <c r="AR64" s="1736"/>
      <c r="AS64" s="1736"/>
      <c r="AT64" s="1736"/>
      <c r="AU64" s="1736"/>
      <c r="AV64" s="1736"/>
      <c r="AW64" s="1736"/>
      <c r="AX64" s="1736"/>
      <c r="AY64" s="1834" t="e">
        <f>AY6+AY26+AY42</f>
        <v>#REF!</v>
      </c>
      <c r="AZ64" s="2033"/>
      <c r="BA64" s="1736">
        <f>BA6+BA26+BA42</f>
        <v>94337277</v>
      </c>
      <c r="BB64" s="1736" t="e">
        <f>BB6+BB26+BB42</f>
        <v>#REF!</v>
      </c>
      <c r="BC64" s="1736" t="e">
        <f>BC6+BC26+BC42</f>
        <v>#REF!</v>
      </c>
      <c r="BD64" s="1825"/>
      <c r="BE64" s="1825"/>
    </row>
    <row r="65" spans="1:57" ht="26.25" customHeight="1" x14ac:dyDescent="0.35">
      <c r="A65" s="1821"/>
      <c r="B65" s="1821"/>
      <c r="C65" s="1822"/>
      <c r="D65" s="1823"/>
      <c r="E65" s="2194"/>
      <c r="F65" s="2194"/>
      <c r="G65" s="2194"/>
      <c r="H65" s="2195"/>
      <c r="I65" s="2195"/>
      <c r="J65" s="2195"/>
      <c r="K65" s="2195"/>
      <c r="L65" s="2195"/>
      <c r="M65" s="2195"/>
      <c r="N65" s="2195"/>
      <c r="O65" s="2195"/>
      <c r="P65" s="2195"/>
      <c r="Q65" s="2195"/>
      <c r="R65" s="2195"/>
      <c r="S65" s="2195"/>
      <c r="T65" s="2195"/>
      <c r="U65" s="2195"/>
      <c r="V65" s="2195"/>
      <c r="W65" s="2195"/>
      <c r="X65" s="2195"/>
      <c r="Y65" s="2195"/>
      <c r="Z65" s="2195"/>
      <c r="AA65" s="2195"/>
      <c r="AB65" s="2195"/>
      <c r="AC65" s="2195"/>
      <c r="AD65" s="2195"/>
      <c r="AE65" s="2195"/>
      <c r="AF65" s="2195"/>
      <c r="AG65" s="2195"/>
      <c r="AH65" s="2195"/>
      <c r="AI65" s="2195"/>
      <c r="AJ65" s="2195"/>
      <c r="AK65" s="2195"/>
      <c r="AL65" s="2195"/>
      <c r="AM65" s="2195"/>
      <c r="AN65" s="2195"/>
      <c r="AO65" s="2195"/>
      <c r="AP65" s="1825"/>
      <c r="AQ65" s="1825"/>
      <c r="AR65" s="1825"/>
      <c r="AS65" s="1825"/>
      <c r="AT65" s="1825"/>
      <c r="AU65" s="1825"/>
      <c r="AV65" s="1825"/>
      <c r="AW65" s="1825"/>
      <c r="AX65" s="1825"/>
      <c r="AY65" s="1825"/>
      <c r="AZ65" s="1825"/>
      <c r="BA65" s="1825"/>
      <c r="BB65" s="1825"/>
      <c r="BC65" s="1825"/>
      <c r="BD65" s="1825"/>
      <c r="BE65" s="1825"/>
    </row>
    <row r="66" spans="1:57" ht="16.5" customHeight="1" x14ac:dyDescent="0.3">
      <c r="V66" s="2198"/>
      <c r="X66" s="2198"/>
      <c r="BB66" s="1774" t="s">
        <v>675</v>
      </c>
      <c r="BC66" s="1775">
        <f ca="1">TODAY()</f>
        <v>45660</v>
      </c>
      <c r="BD66" s="1775"/>
      <c r="BE66" s="1775"/>
    </row>
    <row r="67" spans="1:57" ht="16.5" customHeight="1" x14ac:dyDescent="0.3">
      <c r="D67" s="1618" t="s">
        <v>18</v>
      </c>
      <c r="U67" s="472" t="s">
        <v>697</v>
      </c>
      <c r="V67" s="472"/>
      <c r="W67" s="472"/>
    </row>
    <row r="68" spans="1:57" ht="16.5" customHeight="1" x14ac:dyDescent="0.3">
      <c r="D68" s="1091" t="s">
        <v>647</v>
      </c>
      <c r="E68" s="472">
        <v>373280</v>
      </c>
      <c r="F68" s="472"/>
      <c r="G68" s="472" t="s">
        <v>646</v>
      </c>
      <c r="H68" s="1744">
        <f>E68*12</f>
        <v>4479360</v>
      </c>
      <c r="I68" s="1744"/>
      <c r="J68" s="1744"/>
      <c r="K68" s="1744"/>
      <c r="L68" s="1744"/>
      <c r="M68" s="1744"/>
      <c r="N68" s="1744"/>
      <c r="O68" s="932" t="s">
        <v>698</v>
      </c>
      <c r="P68" s="2199"/>
      <c r="Q68" s="932"/>
      <c r="R68" s="2199" t="s">
        <v>699</v>
      </c>
      <c r="U68" s="472" t="s">
        <v>691</v>
      </c>
      <c r="V68" s="472">
        <v>49000</v>
      </c>
      <c r="W68" s="472"/>
    </row>
    <row r="69" spans="1:57" ht="16.5" customHeight="1" x14ac:dyDescent="0.3">
      <c r="D69" s="1091" t="s">
        <v>644</v>
      </c>
      <c r="E69" s="472">
        <v>82000</v>
      </c>
      <c r="F69" s="472"/>
      <c r="G69" s="472" t="s">
        <v>646</v>
      </c>
      <c r="H69" s="1744">
        <f>E69*12</f>
        <v>984000</v>
      </c>
      <c r="I69" s="1744"/>
      <c r="J69" s="1744"/>
      <c r="K69" s="1744"/>
      <c r="L69" s="1744"/>
      <c r="M69" s="1744"/>
      <c r="N69" s="1744"/>
      <c r="U69" s="472" t="s">
        <v>692</v>
      </c>
      <c r="V69" s="472">
        <v>855700</v>
      </c>
      <c r="W69" s="472"/>
    </row>
    <row r="70" spans="1:57" ht="16.5" customHeight="1" x14ac:dyDescent="0.3">
      <c r="D70" s="1091" t="s">
        <v>645</v>
      </c>
      <c r="E70" s="472">
        <v>11000</v>
      </c>
      <c r="F70" s="472"/>
      <c r="G70" s="472"/>
      <c r="H70" s="1744">
        <f>E70</f>
        <v>11000</v>
      </c>
      <c r="I70" s="1744"/>
      <c r="J70" s="1744"/>
      <c r="K70" s="1744"/>
      <c r="L70" s="1744"/>
      <c r="M70" s="1744"/>
      <c r="N70" s="1744"/>
      <c r="O70" s="395" t="s">
        <v>674</v>
      </c>
      <c r="U70" s="472" t="s">
        <v>693</v>
      </c>
      <c r="V70" s="472">
        <v>123000</v>
      </c>
      <c r="W70" s="472"/>
    </row>
    <row r="71" spans="1:57" ht="16.5" customHeight="1" thickBot="1" x14ac:dyDescent="0.35">
      <c r="D71" s="1091"/>
      <c r="E71" s="472"/>
      <c r="F71" s="472"/>
      <c r="G71" s="472"/>
      <c r="H71" s="2200">
        <f>SUM(H68:H70)</f>
        <v>5474360</v>
      </c>
      <c r="I71" s="2201"/>
      <c r="J71" s="2201"/>
      <c r="K71" s="2201"/>
      <c r="L71" s="2201"/>
      <c r="M71" s="2201"/>
      <c r="N71" s="2201"/>
      <c r="U71" s="472" t="s">
        <v>694</v>
      </c>
      <c r="V71" s="472">
        <v>49000</v>
      </c>
      <c r="W71" s="472"/>
    </row>
    <row r="72" spans="1:57" ht="16.5" customHeight="1" thickTop="1" x14ac:dyDescent="0.3">
      <c r="D72" s="1091" t="s">
        <v>650</v>
      </c>
      <c r="E72" s="472">
        <v>13800</v>
      </c>
      <c r="F72" s="472"/>
      <c r="G72" s="472" t="s">
        <v>646</v>
      </c>
      <c r="H72" s="1744">
        <f>E72*12</f>
        <v>165600</v>
      </c>
      <c r="I72" s="1744"/>
      <c r="J72" s="1744"/>
      <c r="K72" s="1744"/>
      <c r="L72" s="1744"/>
      <c r="M72" s="1744"/>
      <c r="N72" s="1744"/>
      <c r="U72" s="472" t="s">
        <v>695</v>
      </c>
      <c r="V72" s="472">
        <v>13200</v>
      </c>
      <c r="W72" s="472"/>
    </row>
    <row r="73" spans="1:57" ht="26.25" customHeight="1" x14ac:dyDescent="0.3">
      <c r="U73" s="472" t="s">
        <v>696</v>
      </c>
      <c r="V73" s="472">
        <v>7900</v>
      </c>
      <c r="W73" s="472"/>
    </row>
    <row r="74" spans="1:57" ht="19.5" thickBot="1" x14ac:dyDescent="0.35">
      <c r="U74" s="472" t="s">
        <v>28</v>
      </c>
      <c r="V74" s="2202">
        <f>SUM(V68:V73)</f>
        <v>1097800</v>
      </c>
      <c r="W74" s="472"/>
    </row>
    <row r="75" spans="1:57" ht="19.5" thickTop="1" x14ac:dyDescent="0.3">
      <c r="D75" s="1091" t="s">
        <v>627</v>
      </c>
      <c r="E75" s="2203" t="s">
        <v>651</v>
      </c>
      <c r="F75" s="2203"/>
      <c r="G75" s="2203" t="s">
        <v>652</v>
      </c>
      <c r="H75" s="2204" t="s">
        <v>653</v>
      </c>
      <c r="I75" s="2204"/>
      <c r="J75" s="2204"/>
      <c r="K75" s="2204"/>
      <c r="L75" s="2204"/>
      <c r="M75" s="2204"/>
      <c r="N75" s="2204"/>
      <c r="O75" s="2205" t="s">
        <v>654</v>
      </c>
      <c r="P75" s="2206" t="s">
        <v>28</v>
      </c>
      <c r="Q75" s="826" t="s">
        <v>687</v>
      </c>
      <c r="R75" s="826" t="s">
        <v>686</v>
      </c>
      <c r="S75" s="826" t="s">
        <v>688</v>
      </c>
      <c r="T75" s="2207" t="s">
        <v>16</v>
      </c>
    </row>
    <row r="76" spans="1:57" ht="18.75" x14ac:dyDescent="0.3">
      <c r="D76" s="1657" t="s">
        <v>6</v>
      </c>
      <c r="E76" s="472">
        <f>181800-150000</f>
        <v>31800</v>
      </c>
      <c r="F76" s="472"/>
      <c r="G76" s="472">
        <v>221800</v>
      </c>
      <c r="H76" s="1763">
        <v>221800</v>
      </c>
      <c r="I76" s="1921"/>
      <c r="J76" s="1921"/>
      <c r="K76" s="1921"/>
      <c r="L76" s="1921"/>
      <c r="M76" s="1921"/>
      <c r="N76" s="1921"/>
      <c r="O76" s="472">
        <v>181800</v>
      </c>
      <c r="P76" s="826">
        <f t="shared" ref="P76:P85" si="82">SUM(E76:O76)</f>
        <v>657200</v>
      </c>
      <c r="Q76" s="826">
        <v>181800</v>
      </c>
      <c r="R76" s="826">
        <v>150000</v>
      </c>
      <c r="S76" s="826">
        <v>775400</v>
      </c>
      <c r="T76" s="1744">
        <f>S76-R76</f>
        <v>625400</v>
      </c>
      <c r="U76" s="1805">
        <f>775400-150000-100400</f>
        <v>525000</v>
      </c>
    </row>
    <row r="77" spans="1:57" ht="18.75" x14ac:dyDescent="0.3">
      <c r="D77" s="1658" t="s">
        <v>2</v>
      </c>
      <c r="E77" s="472">
        <v>2000</v>
      </c>
      <c r="F77" s="472"/>
      <c r="G77" s="472">
        <v>3000</v>
      </c>
      <c r="H77" s="1763">
        <v>3000</v>
      </c>
      <c r="I77" s="1921"/>
      <c r="J77" s="1921"/>
      <c r="K77" s="1921"/>
      <c r="L77" s="1921"/>
      <c r="M77" s="1921"/>
      <c r="N77" s="1921"/>
      <c r="O77" s="472">
        <v>2000</v>
      </c>
      <c r="P77" s="826">
        <f t="shared" si="82"/>
        <v>10000</v>
      </c>
      <c r="Q77" s="826">
        <v>2000</v>
      </c>
      <c r="R77" s="826"/>
      <c r="S77" s="826">
        <v>6000</v>
      </c>
      <c r="T77" s="1744">
        <f t="shared" ref="T77:T85" si="83">S77-R77</f>
        <v>6000</v>
      </c>
      <c r="U77" s="1677">
        <f>2000+3000+3000+2000-4000</f>
        <v>6000</v>
      </c>
    </row>
    <row r="78" spans="1:57" ht="18.75" x14ac:dyDescent="0.3">
      <c r="D78" s="1658" t="s">
        <v>1</v>
      </c>
      <c r="E78" s="472">
        <f>59140-10000</f>
        <v>49140</v>
      </c>
      <c r="F78" s="472"/>
      <c r="G78" s="472">
        <v>136400</v>
      </c>
      <c r="H78" s="1763">
        <v>138840</v>
      </c>
      <c r="I78" s="1921"/>
      <c r="J78" s="1921"/>
      <c r="K78" s="1921"/>
      <c r="L78" s="1921"/>
      <c r="M78" s="1921"/>
      <c r="N78" s="1921"/>
      <c r="O78" s="472">
        <v>114160</v>
      </c>
      <c r="P78" s="826">
        <f t="shared" si="82"/>
        <v>438540</v>
      </c>
      <c r="Q78" s="826">
        <v>59140</v>
      </c>
      <c r="R78" s="826">
        <v>10000</v>
      </c>
      <c r="S78" s="826">
        <v>294218</v>
      </c>
      <c r="T78" s="1744">
        <f t="shared" si="83"/>
        <v>284218</v>
      </c>
      <c r="U78" s="1677">
        <f>294218-10000</f>
        <v>284218</v>
      </c>
    </row>
    <row r="79" spans="1:57" ht="18.75" x14ac:dyDescent="0.3">
      <c r="D79" s="1658" t="s">
        <v>3</v>
      </c>
      <c r="E79" s="472">
        <v>11500</v>
      </c>
      <c r="F79" s="472"/>
      <c r="G79" s="472">
        <v>16500</v>
      </c>
      <c r="H79" s="1763">
        <v>38125</v>
      </c>
      <c r="I79" s="1921"/>
      <c r="J79" s="1921"/>
      <c r="K79" s="1921"/>
      <c r="L79" s="1921"/>
      <c r="M79" s="1921"/>
      <c r="N79" s="1921"/>
      <c r="O79" s="1744">
        <v>11500</v>
      </c>
      <c r="P79" s="826">
        <f t="shared" si="82"/>
        <v>77625</v>
      </c>
      <c r="Q79" s="826">
        <v>11500</v>
      </c>
      <c r="R79" s="826"/>
      <c r="S79" s="826">
        <v>77000</v>
      </c>
      <c r="T79" s="1744">
        <f t="shared" si="83"/>
        <v>77000</v>
      </c>
      <c r="U79" s="1677">
        <f>11500+16500+38125+11500-625</f>
        <v>77000</v>
      </c>
    </row>
    <row r="80" spans="1:57" ht="18.75" x14ac:dyDescent="0.3">
      <c r="D80" s="1658" t="s">
        <v>24</v>
      </c>
      <c r="E80" s="472">
        <f>91500-10000</f>
        <v>81500</v>
      </c>
      <c r="F80" s="472"/>
      <c r="G80" s="472">
        <v>269500</v>
      </c>
      <c r="H80" s="1763">
        <v>338000</v>
      </c>
      <c r="I80" s="1921"/>
      <c r="J80" s="1921"/>
      <c r="K80" s="1921"/>
      <c r="L80" s="1921"/>
      <c r="M80" s="1921"/>
      <c r="N80" s="1921"/>
      <c r="O80" s="1744">
        <v>201000</v>
      </c>
      <c r="P80" s="826">
        <f t="shared" si="82"/>
        <v>890000</v>
      </c>
      <c r="Q80" s="826">
        <v>91500</v>
      </c>
      <c r="R80" s="826">
        <v>10000</v>
      </c>
      <c r="S80" s="826">
        <v>740000</v>
      </c>
      <c r="T80" s="1744">
        <f t="shared" si="83"/>
        <v>730000</v>
      </c>
      <c r="U80" s="1677">
        <f>740000-10000</f>
        <v>730000</v>
      </c>
      <c r="W80" s="472"/>
    </row>
    <row r="81" spans="4:21" ht="18.75" x14ac:dyDescent="0.3">
      <c r="D81" s="1658" t="s">
        <v>23</v>
      </c>
      <c r="E81" s="472">
        <f>435900-200000</f>
        <v>235900</v>
      </c>
      <c r="F81" s="472"/>
      <c r="G81" s="472">
        <v>219125</v>
      </c>
      <c r="H81" s="1763">
        <v>172525</v>
      </c>
      <c r="I81" s="1921"/>
      <c r="J81" s="1921"/>
      <c r="K81" s="1921"/>
      <c r="L81" s="1921"/>
      <c r="M81" s="1921"/>
      <c r="N81" s="1921"/>
      <c r="O81" s="1744">
        <v>67350</v>
      </c>
      <c r="P81" s="826">
        <f t="shared" si="82"/>
        <v>694900</v>
      </c>
      <c r="Q81" s="826">
        <v>435900</v>
      </c>
      <c r="R81" s="826">
        <v>200000</v>
      </c>
      <c r="S81" s="826">
        <v>741900</v>
      </c>
      <c r="T81" s="1744">
        <f t="shared" si="83"/>
        <v>541900</v>
      </c>
      <c r="U81" s="1677">
        <f>741900-200000</f>
        <v>541900</v>
      </c>
    </row>
    <row r="82" spans="4:21" ht="18.75" x14ac:dyDescent="0.3">
      <c r="D82" s="1658" t="s">
        <v>4</v>
      </c>
      <c r="E82" s="472">
        <v>30000</v>
      </c>
      <c r="F82" s="472"/>
      <c r="G82" s="472">
        <v>30000</v>
      </c>
      <c r="H82" s="1763">
        <v>67000</v>
      </c>
      <c r="I82" s="1921"/>
      <c r="J82" s="1921"/>
      <c r="K82" s="1921"/>
      <c r="L82" s="1921"/>
      <c r="M82" s="1921"/>
      <c r="N82" s="1921"/>
      <c r="O82" s="1744">
        <v>52000</v>
      </c>
      <c r="P82" s="826">
        <f t="shared" si="82"/>
        <v>179000</v>
      </c>
      <c r="Q82" s="826">
        <v>30000</v>
      </c>
      <c r="R82" s="826"/>
      <c r="S82" s="826">
        <v>147000</v>
      </c>
      <c r="T82" s="1744">
        <f t="shared" si="83"/>
        <v>147000</v>
      </c>
      <c r="U82" s="1677">
        <f>147000</f>
        <v>147000</v>
      </c>
    </row>
    <row r="83" spans="4:21" ht="18.75" x14ac:dyDescent="0.3">
      <c r="D83" s="1658" t="s">
        <v>20</v>
      </c>
      <c r="E83" s="472">
        <f>50200-10000</f>
        <v>40200</v>
      </c>
      <c r="F83" s="472"/>
      <c r="G83" s="472">
        <v>240200</v>
      </c>
      <c r="H83" s="1763">
        <v>160200</v>
      </c>
      <c r="I83" s="1921"/>
      <c r="J83" s="1921"/>
      <c r="K83" s="1921"/>
      <c r="L83" s="1921"/>
      <c r="M83" s="1921"/>
      <c r="N83" s="1921"/>
      <c r="O83" s="1744">
        <v>170200</v>
      </c>
      <c r="P83" s="826">
        <f t="shared" si="82"/>
        <v>610800</v>
      </c>
      <c r="Q83" s="826">
        <v>50200</v>
      </c>
      <c r="R83" s="826">
        <v>10000</v>
      </c>
      <c r="S83" s="2208">
        <v>500800</v>
      </c>
      <c r="T83" s="1744">
        <f t="shared" si="83"/>
        <v>490800</v>
      </c>
      <c r="U83" s="1677">
        <f>500800-10000</f>
        <v>490800</v>
      </c>
    </row>
    <row r="84" spans="4:21" ht="18.75" x14ac:dyDescent="0.3">
      <c r="D84" s="1659" t="s">
        <v>5</v>
      </c>
      <c r="E84" s="472">
        <f>121525-20000</f>
        <v>101525</v>
      </c>
      <c r="F84" s="472"/>
      <c r="G84" s="472">
        <v>58520</v>
      </c>
      <c r="H84" s="1763">
        <v>100970</v>
      </c>
      <c r="I84" s="1921"/>
      <c r="J84" s="1921"/>
      <c r="K84" s="1921"/>
      <c r="L84" s="1921"/>
      <c r="M84" s="1921"/>
      <c r="N84" s="1921"/>
      <c r="O84" s="1744">
        <v>99350</v>
      </c>
      <c r="P84" s="826">
        <f t="shared" si="82"/>
        <v>360365</v>
      </c>
      <c r="Q84" s="826">
        <v>121525</v>
      </c>
      <c r="R84" s="826">
        <v>20000</v>
      </c>
      <c r="S84" s="826">
        <v>307610</v>
      </c>
      <c r="T84" s="1744">
        <f t="shared" si="83"/>
        <v>287610</v>
      </c>
      <c r="U84" s="1677">
        <f>307610-20000</f>
        <v>287610</v>
      </c>
    </row>
    <row r="85" spans="4:21" ht="18.75" x14ac:dyDescent="0.3">
      <c r="D85" s="1658" t="s">
        <v>21</v>
      </c>
      <c r="E85" s="472">
        <f>38000-20000</f>
        <v>18000</v>
      </c>
      <c r="F85" s="472"/>
      <c r="G85" s="472">
        <v>58000</v>
      </c>
      <c r="H85" s="1763">
        <v>43000</v>
      </c>
      <c r="I85" s="1921"/>
      <c r="J85" s="1921"/>
      <c r="K85" s="1921"/>
      <c r="L85" s="1921"/>
      <c r="M85" s="1921"/>
      <c r="N85" s="1921"/>
      <c r="O85" s="1744">
        <v>3000</v>
      </c>
      <c r="P85" s="826">
        <f t="shared" si="82"/>
        <v>122000</v>
      </c>
      <c r="Q85" s="826">
        <v>38000</v>
      </c>
      <c r="R85" s="826">
        <v>20000</v>
      </c>
      <c r="S85" s="826">
        <v>266000</v>
      </c>
      <c r="T85" s="1744">
        <f t="shared" si="83"/>
        <v>246000</v>
      </c>
      <c r="U85" s="1677">
        <f>266000-20000</f>
        <v>246000</v>
      </c>
    </row>
    <row r="86" spans="4:21" ht="26.25" customHeight="1" thickBot="1" x14ac:dyDescent="0.35">
      <c r="E86" s="2209">
        <f t="shared" ref="E86:U86" si="84">SUM(E76:E85)</f>
        <v>601565</v>
      </c>
      <c r="F86" s="2209"/>
      <c r="G86" s="2209">
        <f t="shared" si="84"/>
        <v>1253045</v>
      </c>
      <c r="H86" s="2210">
        <f t="shared" si="84"/>
        <v>1283460</v>
      </c>
      <c r="I86" s="2210"/>
      <c r="J86" s="2210"/>
      <c r="K86" s="2210"/>
      <c r="L86" s="2210"/>
      <c r="M86" s="2210"/>
      <c r="N86" s="2210"/>
      <c r="O86" s="2210">
        <f t="shared" si="84"/>
        <v>902360</v>
      </c>
      <c r="P86" s="2202">
        <f t="shared" si="84"/>
        <v>4040430</v>
      </c>
      <c r="Q86" s="2202">
        <f t="shared" si="84"/>
        <v>1021565</v>
      </c>
      <c r="R86" s="2202">
        <f t="shared" si="84"/>
        <v>420000</v>
      </c>
      <c r="S86" s="2202">
        <f t="shared" si="84"/>
        <v>3855928</v>
      </c>
      <c r="T86" s="2207">
        <f t="shared" si="84"/>
        <v>3435928</v>
      </c>
      <c r="U86" s="932">
        <f t="shared" si="84"/>
        <v>3335528</v>
      </c>
    </row>
    <row r="87" spans="4:21" ht="26.25" customHeight="1" thickTop="1" x14ac:dyDescent="0.3"/>
  </sheetData>
  <mergeCells count="54">
    <mergeCell ref="A1:AF1"/>
    <mergeCell ref="A3:D4"/>
    <mergeCell ref="E3:E4"/>
    <mergeCell ref="F3:F4"/>
    <mergeCell ref="G3:G4"/>
    <mergeCell ref="H3:H4"/>
    <mergeCell ref="I3:I4"/>
    <mergeCell ref="J3:J4"/>
    <mergeCell ref="K3:K4"/>
    <mergeCell ref="O3:P3"/>
    <mergeCell ref="BC3:BC4"/>
    <mergeCell ref="AZ3:AZ4"/>
    <mergeCell ref="A27:D27"/>
    <mergeCell ref="AD3:AF3"/>
    <mergeCell ref="AG3:AH3"/>
    <mergeCell ref="AI3:AJ3"/>
    <mergeCell ref="AK3:AL3"/>
    <mergeCell ref="L3:L4"/>
    <mergeCell ref="M3:M4"/>
    <mergeCell ref="N3:N4"/>
    <mergeCell ref="AM3:AO3"/>
    <mergeCell ref="AP3:AQ3"/>
    <mergeCell ref="Q3:R3"/>
    <mergeCell ref="S3:T3"/>
    <mergeCell ref="U3:W3"/>
    <mergeCell ref="X3:Y3"/>
    <mergeCell ref="B47:D47"/>
    <mergeCell ref="AR3:AS3"/>
    <mergeCell ref="AT3:AU3"/>
    <mergeCell ref="AV3:AX3"/>
    <mergeCell ref="AY3:AY4"/>
    <mergeCell ref="Z3:AA3"/>
    <mergeCell ref="AB3:AC3"/>
    <mergeCell ref="C38:D38"/>
    <mergeCell ref="C39:D39"/>
    <mergeCell ref="C40:D40"/>
    <mergeCell ref="C41:D41"/>
    <mergeCell ref="B46:D46"/>
    <mergeCell ref="BD3:BD4"/>
    <mergeCell ref="BE3:BE4"/>
    <mergeCell ref="C62:D62"/>
    <mergeCell ref="C63:D63"/>
    <mergeCell ref="C49:D49"/>
    <mergeCell ref="C52:D52"/>
    <mergeCell ref="C56:D56"/>
    <mergeCell ref="C57:D57"/>
    <mergeCell ref="B60:D60"/>
    <mergeCell ref="C61:D61"/>
    <mergeCell ref="C48:D48"/>
    <mergeCell ref="B33:D33"/>
    <mergeCell ref="B34:D34"/>
    <mergeCell ref="A35:D35"/>
    <mergeCell ref="B36:D36"/>
    <mergeCell ref="B37:D37"/>
  </mergeCells>
  <pageMargins left="0.23622047244094491" right="0.23622047244094491" top="0.35433070866141736" bottom="0.35433070866141736" header="0.31496062992125984" footer="0.31496062992125984"/>
  <pageSetup paperSize="9" scale="65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BZ87"/>
  <sheetViews>
    <sheetView view="pageBreakPreview" zoomScaleNormal="100" zoomScaleSheetLayoutView="100" workbookViewId="0">
      <pane xSplit="5" ySplit="4" topLeftCell="AC5" activePane="bottomRight" state="frozen"/>
      <selection pane="topRight" activeCell="F1" sqref="F1"/>
      <selection pane="bottomLeft" activeCell="A4" sqref="A4"/>
      <selection pane="bottomRight" activeCell="AI11" sqref="AI11"/>
    </sheetView>
  </sheetViews>
  <sheetFormatPr defaultColWidth="9" defaultRowHeight="26.25" customHeight="1" x14ac:dyDescent="0.3"/>
  <cols>
    <col min="1" max="1" width="2.28515625" style="1062" customWidth="1"/>
    <col min="2" max="2" width="2.42578125" style="1062" customWidth="1"/>
    <col min="3" max="3" width="3" style="1062" customWidth="1"/>
    <col min="4" max="4" width="35" style="1062" customWidth="1"/>
    <col min="5" max="5" width="13.140625" style="395" customWidth="1"/>
    <col min="6" max="7" width="12.85546875" style="395" customWidth="1"/>
    <col min="8" max="9" width="13" style="2196" customWidth="1"/>
    <col min="10" max="10" width="11.7109375" style="2196" customWidth="1"/>
    <col min="11" max="12" width="13" style="2196" customWidth="1"/>
    <col min="13" max="13" width="13.28515625" style="2196" customWidth="1"/>
    <col min="14" max="14" width="12.42578125" style="2196" customWidth="1"/>
    <col min="15" max="15" width="12.140625" style="395" customWidth="1"/>
    <col min="16" max="16" width="11.42578125" style="2197" customWidth="1"/>
    <col min="17" max="17" width="11.85546875" style="395" customWidth="1"/>
    <col min="18" max="18" width="11.42578125" style="2197" customWidth="1"/>
    <col min="19" max="19" width="11.85546875" style="395" customWidth="1"/>
    <col min="20" max="20" width="11.42578125" style="2197" customWidth="1"/>
    <col min="21" max="21" width="11.5703125" style="395" customWidth="1"/>
    <col min="22" max="22" width="12.85546875" style="395" customWidth="1"/>
    <col min="23" max="23" width="11.85546875" style="395" customWidth="1"/>
    <col min="24" max="24" width="12.140625" style="395" customWidth="1"/>
    <col min="25" max="27" width="11.5703125" style="395" customWidth="1"/>
    <col min="28" max="28" width="13" style="395" customWidth="1"/>
    <col min="29" max="29" width="12" style="395" customWidth="1"/>
    <col min="30" max="30" width="13.42578125" style="395" customWidth="1"/>
    <col min="31" max="31" width="12.7109375" style="395" customWidth="1"/>
    <col min="32" max="32" width="13.28515625" style="395" customWidth="1"/>
    <col min="33" max="33" width="11.7109375" style="2197" customWidth="1"/>
    <col min="34" max="34" width="14.42578125" style="2197" customWidth="1"/>
    <col min="35" max="35" width="13.42578125" style="2197" customWidth="1"/>
    <col min="36" max="36" width="11.85546875" style="2197" customWidth="1"/>
    <col min="37" max="37" width="13.28515625" style="2197" customWidth="1"/>
    <col min="38" max="38" width="13" style="2197" customWidth="1"/>
    <col min="39" max="39" width="13.85546875" style="2197" customWidth="1"/>
    <col min="40" max="40" width="12.5703125" style="2197" customWidth="1"/>
    <col min="41" max="41" width="13.140625" style="2197" customWidth="1"/>
    <col min="42" max="42" width="12" style="1655" customWidth="1"/>
    <col min="43" max="43" width="13.7109375" style="1655" customWidth="1"/>
    <col min="44" max="44" width="11.85546875" style="1655" customWidth="1"/>
    <col min="45" max="45" width="8.140625" style="1655" customWidth="1"/>
    <col min="46" max="46" width="11.5703125" style="1655" customWidth="1"/>
    <col min="47" max="47" width="10.28515625" style="1655" customWidth="1"/>
    <col min="48" max="48" width="14.28515625" style="1655" customWidth="1"/>
    <col min="49" max="49" width="14.7109375" style="1655" customWidth="1"/>
    <col min="50" max="50" width="14.42578125" style="1655" customWidth="1"/>
    <col min="51" max="52" width="13.7109375" style="1655" customWidth="1"/>
    <col min="53" max="53" width="13" style="1655" customWidth="1"/>
    <col min="54" max="54" width="14.42578125" style="1656" customWidth="1"/>
    <col min="55" max="58" width="13.140625" style="1656" customWidth="1"/>
    <col min="59" max="59" width="33.140625" style="416" customWidth="1"/>
    <col min="60" max="61" width="11.5703125" style="366" customWidth="1"/>
    <col min="62" max="62" width="9" style="366"/>
    <col min="63" max="63" width="13.28515625" style="366" customWidth="1"/>
    <col min="64" max="64" width="9" style="366"/>
    <col min="65" max="65" width="10.28515625" style="1125" customWidth="1"/>
    <col min="66" max="66" width="15.85546875" style="1125" customWidth="1"/>
    <col min="67" max="67" width="12.5703125" style="1125" customWidth="1"/>
    <col min="68" max="68" width="11.28515625" style="1125" customWidth="1"/>
    <col min="69" max="69" width="10" style="1125" bestFit="1" customWidth="1"/>
    <col min="70" max="78" width="9" style="1125"/>
    <col min="79" max="16384" width="9" style="1062"/>
  </cols>
  <sheetData>
    <row r="1" spans="1:69" ht="25.5" customHeight="1" x14ac:dyDescent="0.3">
      <c r="A1" s="3305" t="s">
        <v>689</v>
      </c>
      <c r="B1" s="3305"/>
      <c r="C1" s="3305"/>
      <c r="D1" s="3305"/>
      <c r="E1" s="3305"/>
      <c r="F1" s="3305"/>
      <c r="G1" s="3305"/>
      <c r="H1" s="3305"/>
      <c r="I1" s="3305"/>
      <c r="J1" s="3305"/>
      <c r="K1" s="3305"/>
      <c r="L1" s="3305"/>
      <c r="M1" s="3305"/>
      <c r="N1" s="3305"/>
      <c r="O1" s="3305"/>
      <c r="P1" s="3305"/>
      <c r="Q1" s="3305"/>
      <c r="R1" s="3305"/>
      <c r="S1" s="3305"/>
      <c r="T1" s="3305"/>
      <c r="U1" s="3305"/>
      <c r="V1" s="3305"/>
      <c r="W1" s="3305"/>
      <c r="X1" s="3305"/>
      <c r="Y1" s="3305"/>
      <c r="Z1" s="3305"/>
      <c r="AA1" s="3305"/>
      <c r="AB1" s="3305"/>
      <c r="AC1" s="3305"/>
      <c r="AD1" s="3305"/>
      <c r="AE1" s="3305"/>
      <c r="AF1" s="3305"/>
      <c r="AG1" s="2070"/>
      <c r="AH1" s="2070"/>
      <c r="AI1" s="2070"/>
      <c r="AJ1" s="2070"/>
      <c r="AK1" s="2070"/>
      <c r="AL1" s="2070"/>
      <c r="AM1" s="2070"/>
      <c r="AN1" s="2070"/>
      <c r="AO1" s="2070"/>
      <c r="AP1" s="1665"/>
      <c r="AQ1" s="1665"/>
      <c r="AR1" s="1665"/>
      <c r="AS1" s="1665"/>
      <c r="AT1" s="1665"/>
      <c r="AU1" s="1665"/>
      <c r="AV1" s="1665"/>
      <c r="AW1" s="1665"/>
      <c r="AX1" s="1665"/>
      <c r="AY1" s="2043">
        <f>F6-7684950</f>
        <v>-462366</v>
      </c>
      <c r="AZ1" s="1895"/>
      <c r="BA1" s="1665"/>
      <c r="BB1" s="1774" t="s">
        <v>675</v>
      </c>
      <c r="BC1" s="1799">
        <f ca="1">TODAY()</f>
        <v>45660</v>
      </c>
      <c r="BD1" s="1799"/>
      <c r="BE1" s="1799"/>
      <c r="BF1" s="1799"/>
    </row>
    <row r="2" spans="1:69" ht="25.5" customHeight="1" thickBot="1" x14ac:dyDescent="0.35">
      <c r="A2" s="1063"/>
      <c r="B2" s="1063"/>
      <c r="C2" s="1063"/>
      <c r="D2" s="1063"/>
      <c r="E2" s="943">
        <f>E6-E7-E8-E9-E10-E11-E13-E14-E15</f>
        <v>0</v>
      </c>
      <c r="F2" s="943">
        <f>E5/2</f>
        <v>7684950</v>
      </c>
      <c r="G2" s="943">
        <f>G6</f>
        <v>557700</v>
      </c>
      <c r="H2" s="943">
        <f>F2-G7-H7-H8-H9-H10-H11-H13-H14-H15</f>
        <v>462366</v>
      </c>
      <c r="I2" s="2071">
        <f>3378995+463503</f>
        <v>3842498</v>
      </c>
      <c r="J2" s="791">
        <v>463503</v>
      </c>
      <c r="K2" s="943">
        <f>I2-J2-K8-K9-K10-K11-K13-K14-K15</f>
        <v>-231925</v>
      </c>
      <c r="L2" s="943">
        <f>E5-F5-I5</f>
        <v>3842452</v>
      </c>
      <c r="M2" s="943">
        <f>M6</f>
        <v>83723</v>
      </c>
      <c r="N2" s="943">
        <f>L2-M2-N8-N9-N10-N11-N13-N14-N15</f>
        <v>-907756</v>
      </c>
      <c r="O2" s="2072">
        <f>F5-G7+I5-J7</f>
        <v>10506245</v>
      </c>
      <c r="P2" s="2073">
        <v>358500</v>
      </c>
      <c r="Q2" s="2072">
        <f>O2-P2</f>
        <v>10147745</v>
      </c>
      <c r="R2" s="2073" t="e">
        <f>P6+R6+T6+Y6+AA6+AC6+AH6+AJ6</f>
        <v>#REF!</v>
      </c>
      <c r="S2" s="2072" t="e">
        <f>Q2-R2</f>
        <v>#REF!</v>
      </c>
      <c r="T2" s="2073">
        <f>AI8+AI9+AI10+AI11+AI13+AI14+AK8+AK9+AK10+AK11+AK13+AK14</f>
        <v>1932384</v>
      </c>
      <c r="U2" s="2072" t="e">
        <f>S2-T2</f>
        <v>#REF!</v>
      </c>
      <c r="V2" s="2074">
        <f>30000+100000</f>
        <v>130000</v>
      </c>
      <c r="W2" s="2072" t="e">
        <f>U2+V2</f>
        <v>#REF!</v>
      </c>
      <c r="X2" s="791"/>
      <c r="Y2" s="2071">
        <v>3758677</v>
      </c>
      <c r="Z2" s="2071">
        <v>2539772</v>
      </c>
      <c r="AA2" s="943">
        <f>Y2-Z2</f>
        <v>1218905</v>
      </c>
      <c r="AB2" s="2071">
        <v>858434</v>
      </c>
      <c r="AC2" s="943">
        <f>AA2-AB2</f>
        <v>360471</v>
      </c>
      <c r="AD2" s="791"/>
      <c r="AE2" s="791"/>
      <c r="AF2" s="791"/>
      <c r="AG2" s="791"/>
      <c r="AH2" s="791"/>
      <c r="AI2" s="791"/>
      <c r="AJ2" s="791"/>
      <c r="AK2" s="791"/>
      <c r="AL2" s="791"/>
      <c r="AM2" s="791"/>
      <c r="AN2" s="791"/>
      <c r="AO2" s="791"/>
      <c r="AP2" s="1063"/>
      <c r="AQ2" s="1063"/>
      <c r="AR2" s="1063"/>
      <c r="AS2" s="1063"/>
      <c r="AT2" s="1063"/>
      <c r="AU2" s="1063"/>
      <c r="AV2" s="1063"/>
      <c r="AW2" s="1063"/>
      <c r="AX2" s="1063"/>
      <c r="AY2" s="1069"/>
      <c r="AZ2" s="1069"/>
      <c r="BA2" s="1063"/>
      <c r="BB2" s="1774"/>
      <c r="BC2" s="1799"/>
      <c r="BD2" s="1799"/>
      <c r="BE2" s="1799"/>
      <c r="BF2" s="1799"/>
    </row>
    <row r="3" spans="1:69" ht="22.5" customHeight="1" thickTop="1" x14ac:dyDescent="0.3">
      <c r="A3" s="3329" t="s">
        <v>0</v>
      </c>
      <c r="B3" s="3330"/>
      <c r="C3" s="3330"/>
      <c r="D3" s="3331"/>
      <c r="E3" s="3378" t="s">
        <v>774</v>
      </c>
      <c r="F3" s="3380" t="s">
        <v>700</v>
      </c>
      <c r="G3" s="3371" t="s">
        <v>773</v>
      </c>
      <c r="H3" s="3373" t="s">
        <v>713</v>
      </c>
      <c r="I3" s="3382" t="s">
        <v>710</v>
      </c>
      <c r="J3" s="3371" t="s">
        <v>711</v>
      </c>
      <c r="K3" s="3373" t="s">
        <v>712</v>
      </c>
      <c r="L3" s="3369" t="s">
        <v>759</v>
      </c>
      <c r="M3" s="3371" t="s">
        <v>760</v>
      </c>
      <c r="N3" s="3373" t="s">
        <v>761</v>
      </c>
      <c r="O3" s="3315" t="s">
        <v>616</v>
      </c>
      <c r="P3" s="3316"/>
      <c r="Q3" s="3315" t="s">
        <v>617</v>
      </c>
      <c r="R3" s="3316"/>
      <c r="S3" s="3315" t="s">
        <v>618</v>
      </c>
      <c r="T3" s="3316"/>
      <c r="U3" s="3375" t="s">
        <v>619</v>
      </c>
      <c r="V3" s="3376"/>
      <c r="W3" s="3377"/>
      <c r="X3" s="3360" t="s">
        <v>620</v>
      </c>
      <c r="Y3" s="3361"/>
      <c r="Z3" s="3360" t="s">
        <v>621</v>
      </c>
      <c r="AA3" s="3361"/>
      <c r="AB3" s="3360" t="s">
        <v>622</v>
      </c>
      <c r="AC3" s="3361"/>
      <c r="AD3" s="3366" t="s">
        <v>623</v>
      </c>
      <c r="AE3" s="3367"/>
      <c r="AF3" s="3368"/>
      <c r="AG3" s="3315" t="s">
        <v>655</v>
      </c>
      <c r="AH3" s="3316"/>
      <c r="AI3" s="3315" t="s">
        <v>656</v>
      </c>
      <c r="AJ3" s="3316"/>
      <c r="AK3" s="3315" t="s">
        <v>657</v>
      </c>
      <c r="AL3" s="3316"/>
      <c r="AM3" s="3375" t="s">
        <v>658</v>
      </c>
      <c r="AN3" s="3376"/>
      <c r="AO3" s="3377"/>
      <c r="AP3" s="3306" t="s">
        <v>659</v>
      </c>
      <c r="AQ3" s="3307"/>
      <c r="AR3" s="3306" t="s">
        <v>660</v>
      </c>
      <c r="AS3" s="3307"/>
      <c r="AT3" s="3306" t="s">
        <v>661</v>
      </c>
      <c r="AU3" s="3307"/>
      <c r="AV3" s="3335" t="s">
        <v>662</v>
      </c>
      <c r="AW3" s="3336"/>
      <c r="AX3" s="3337"/>
      <c r="AY3" s="3338" t="s">
        <v>706</v>
      </c>
      <c r="AZ3" s="3364" t="s">
        <v>783</v>
      </c>
      <c r="BA3" s="1813" t="s">
        <v>28</v>
      </c>
      <c r="BB3" s="1685" t="s">
        <v>28</v>
      </c>
      <c r="BC3" s="3362" t="s">
        <v>784</v>
      </c>
      <c r="BD3" s="3358" t="s">
        <v>785</v>
      </c>
      <c r="BE3" s="3359" t="s">
        <v>786</v>
      </c>
      <c r="BF3" s="2221"/>
      <c r="BH3" s="406">
        <f>E7+E8+E9+E10+E13+E14+E15</f>
        <v>15841711</v>
      </c>
    </row>
    <row r="4" spans="1:69" ht="55.5" customHeight="1" thickBot="1" x14ac:dyDescent="0.35">
      <c r="A4" s="3332"/>
      <c r="B4" s="3333"/>
      <c r="C4" s="3333"/>
      <c r="D4" s="3334"/>
      <c r="E4" s="3379"/>
      <c r="F4" s="3381"/>
      <c r="G4" s="3372"/>
      <c r="H4" s="3374"/>
      <c r="I4" s="3383"/>
      <c r="J4" s="3372"/>
      <c r="K4" s="3374"/>
      <c r="L4" s="3370"/>
      <c r="M4" s="3372"/>
      <c r="N4" s="3374"/>
      <c r="O4" s="2075" t="s">
        <v>702</v>
      </c>
      <c r="P4" s="2076" t="s">
        <v>703</v>
      </c>
      <c r="Q4" s="2075" t="s">
        <v>702</v>
      </c>
      <c r="R4" s="2076" t="s">
        <v>703</v>
      </c>
      <c r="S4" s="2075" t="s">
        <v>702</v>
      </c>
      <c r="T4" s="2076" t="s">
        <v>703</v>
      </c>
      <c r="U4" s="2077" t="s">
        <v>702</v>
      </c>
      <c r="V4" s="2078" t="s">
        <v>703</v>
      </c>
      <c r="W4" s="2079" t="s">
        <v>516</v>
      </c>
      <c r="X4" s="2075" t="s">
        <v>702</v>
      </c>
      <c r="Y4" s="2080" t="s">
        <v>703</v>
      </c>
      <c r="Z4" s="2075" t="s">
        <v>702</v>
      </c>
      <c r="AA4" s="2080" t="s">
        <v>703</v>
      </c>
      <c r="AB4" s="2075" t="s">
        <v>702</v>
      </c>
      <c r="AC4" s="2080" t="s">
        <v>703</v>
      </c>
      <c r="AD4" s="2077" t="s">
        <v>702</v>
      </c>
      <c r="AE4" s="2078" t="s">
        <v>703</v>
      </c>
      <c r="AF4" s="2079" t="s">
        <v>516</v>
      </c>
      <c r="AG4" s="2081" t="s">
        <v>702</v>
      </c>
      <c r="AH4" s="2076" t="s">
        <v>703</v>
      </c>
      <c r="AI4" s="2081" t="s">
        <v>702</v>
      </c>
      <c r="AJ4" s="2076" t="s">
        <v>703</v>
      </c>
      <c r="AK4" s="2081" t="s">
        <v>702</v>
      </c>
      <c r="AL4" s="2076" t="s">
        <v>703</v>
      </c>
      <c r="AM4" s="2211" t="s">
        <v>702</v>
      </c>
      <c r="AN4" s="2212" t="s">
        <v>703</v>
      </c>
      <c r="AO4" s="2213" t="s">
        <v>516</v>
      </c>
      <c r="AP4" s="1866" t="s">
        <v>702</v>
      </c>
      <c r="AQ4" s="1836" t="s">
        <v>703</v>
      </c>
      <c r="AR4" s="1866" t="s">
        <v>702</v>
      </c>
      <c r="AS4" s="1836" t="s">
        <v>703</v>
      </c>
      <c r="AT4" s="1866" t="s">
        <v>702</v>
      </c>
      <c r="AU4" s="1836" t="s">
        <v>703</v>
      </c>
      <c r="AV4" s="1867" t="s">
        <v>702</v>
      </c>
      <c r="AW4" s="1868" t="s">
        <v>703</v>
      </c>
      <c r="AX4" s="1721" t="s">
        <v>516</v>
      </c>
      <c r="AY4" s="3339"/>
      <c r="AZ4" s="3365"/>
      <c r="BA4" s="1814" t="s">
        <v>779</v>
      </c>
      <c r="BB4" s="1737" t="s">
        <v>780</v>
      </c>
      <c r="BC4" s="3363"/>
      <c r="BD4" s="3358"/>
      <c r="BE4" s="3359"/>
      <c r="BF4" s="2221" t="s">
        <v>146</v>
      </c>
      <c r="BH4" s="406">
        <f>E6-BH3</f>
        <v>205504</v>
      </c>
    </row>
    <row r="5" spans="1:69" ht="29.25" customHeight="1" x14ac:dyDescent="0.35">
      <c r="A5" s="2035" t="s">
        <v>777</v>
      </c>
      <c r="B5" s="2036"/>
      <c r="C5" s="2036"/>
      <c r="D5" s="2037"/>
      <c r="E5" s="2082">
        <v>15369900</v>
      </c>
      <c r="F5" s="2083">
        <f>F2</f>
        <v>7684950</v>
      </c>
      <c r="G5" s="2084"/>
      <c r="H5" s="2085"/>
      <c r="I5" s="2086">
        <f>I2</f>
        <v>3842498</v>
      </c>
      <c r="J5" s="2087"/>
      <c r="K5" s="2085"/>
      <c r="L5" s="2088">
        <f>L2</f>
        <v>3842452</v>
      </c>
      <c r="M5" s="2087"/>
      <c r="N5" s="2085">
        <f>L5-M7-854100</f>
        <v>2904629</v>
      </c>
      <c r="O5" s="2084"/>
      <c r="P5" s="2089"/>
      <c r="Q5" s="2084"/>
      <c r="R5" s="2089"/>
      <c r="S5" s="2084"/>
      <c r="T5" s="2089"/>
      <c r="U5" s="2084"/>
      <c r="V5" s="2084"/>
      <c r="W5" s="2090"/>
      <c r="X5" s="2084"/>
      <c r="Y5" s="2084"/>
      <c r="Z5" s="2084"/>
      <c r="AA5" s="2084"/>
      <c r="AB5" s="2084"/>
      <c r="AC5" s="2084"/>
      <c r="AD5" s="2084"/>
      <c r="AE5" s="2084"/>
      <c r="AF5" s="2090"/>
      <c r="AG5" s="2089"/>
      <c r="AH5" s="2089"/>
      <c r="AI5" s="2089"/>
      <c r="AJ5" s="2089"/>
      <c r="AK5" s="2089"/>
      <c r="AL5" s="2089"/>
      <c r="AM5" s="2089"/>
      <c r="AN5" s="2089"/>
      <c r="AO5" s="2214"/>
      <c r="AP5" s="2038"/>
      <c r="AQ5" s="2038"/>
      <c r="AR5" s="2038"/>
      <c r="AS5" s="2038"/>
      <c r="AT5" s="2038"/>
      <c r="AU5" s="2038"/>
      <c r="AV5" s="2038"/>
      <c r="AW5" s="2038"/>
      <c r="AX5" s="2039"/>
      <c r="AY5" s="2038"/>
      <c r="AZ5" s="2038"/>
      <c r="BA5" s="2038"/>
      <c r="BB5" s="2038"/>
      <c r="BC5" s="2040"/>
      <c r="BD5" s="2045"/>
      <c r="BE5" s="2045"/>
      <c r="BF5" s="2045"/>
      <c r="BG5" s="2041"/>
      <c r="BH5" s="406"/>
    </row>
    <row r="6" spans="1:69" ht="22.5" customHeight="1" thickBot="1" x14ac:dyDescent="0.4">
      <c r="A6" s="1690" t="s">
        <v>776</v>
      </c>
      <c r="B6" s="1690"/>
      <c r="C6" s="1691"/>
      <c r="D6" s="1692"/>
      <c r="E6" s="2091">
        <f>E7+E8+E9+E10+E11+E13+E14+E15</f>
        <v>16047215</v>
      </c>
      <c r="F6" s="2091">
        <f>F7+F8+F9+F10+F11+F13+F14+F15</f>
        <v>7222584</v>
      </c>
      <c r="G6" s="2092">
        <f t="shared" ref="G6:BB6" si="0">G7+G8+G9+G10+G11+G13+G14+G15</f>
        <v>557700</v>
      </c>
      <c r="H6" s="2093">
        <f>H7+H8+H9+H10+H11+H13+H14+H15</f>
        <v>6664884</v>
      </c>
      <c r="I6" s="2093">
        <f t="shared" si="0"/>
        <v>4074423</v>
      </c>
      <c r="J6" s="2093">
        <f t="shared" si="0"/>
        <v>463503</v>
      </c>
      <c r="K6" s="2093">
        <f>K7+K8+K9+K10+K11+K13+K14+K15</f>
        <v>3610920</v>
      </c>
      <c r="L6" s="2094">
        <f t="shared" si="0"/>
        <v>4750208</v>
      </c>
      <c r="M6" s="2093">
        <f t="shared" si="0"/>
        <v>83723</v>
      </c>
      <c r="N6" s="2093">
        <f>N7+N8+N9+N10+N11+N13+N14+N15</f>
        <v>4666485</v>
      </c>
      <c r="O6" s="2093">
        <f t="shared" si="0"/>
        <v>1037944</v>
      </c>
      <c r="P6" s="2093" t="e">
        <f t="shared" si="0"/>
        <v>#REF!</v>
      </c>
      <c r="Q6" s="2093">
        <f t="shared" si="0"/>
        <v>1066723</v>
      </c>
      <c r="R6" s="2093" t="e">
        <f t="shared" si="0"/>
        <v>#REF!</v>
      </c>
      <c r="S6" s="2093">
        <f t="shared" si="0"/>
        <v>1129090</v>
      </c>
      <c r="T6" s="2093" t="e">
        <f t="shared" si="0"/>
        <v>#REF!</v>
      </c>
      <c r="U6" s="2093">
        <f t="shared" si="0"/>
        <v>3233757</v>
      </c>
      <c r="V6" s="2093" t="e">
        <f t="shared" si="0"/>
        <v>#REF!</v>
      </c>
      <c r="W6" s="2093" t="e">
        <f t="shared" si="0"/>
        <v>#REF!</v>
      </c>
      <c r="X6" s="2095">
        <f t="shared" si="0"/>
        <v>1004397</v>
      </c>
      <c r="Y6" s="2096" t="e">
        <f t="shared" si="0"/>
        <v>#REF!</v>
      </c>
      <c r="Z6" s="2095">
        <f t="shared" si="0"/>
        <v>1091877</v>
      </c>
      <c r="AA6" s="2096" t="e">
        <f t="shared" si="0"/>
        <v>#REF!</v>
      </c>
      <c r="AB6" s="2095">
        <f t="shared" si="0"/>
        <v>1334853</v>
      </c>
      <c r="AC6" s="2096" t="e">
        <f t="shared" si="0"/>
        <v>#REF!</v>
      </c>
      <c r="AD6" s="2097">
        <f t="shared" si="0"/>
        <v>3431127</v>
      </c>
      <c r="AE6" s="2098" t="e">
        <f t="shared" si="0"/>
        <v>#REF!</v>
      </c>
      <c r="AF6" s="2099" t="e">
        <f t="shared" si="0"/>
        <v>#REF!</v>
      </c>
      <c r="AG6" s="2095">
        <f t="shared" si="0"/>
        <v>1232806</v>
      </c>
      <c r="AH6" s="2096" t="e">
        <f t="shared" si="0"/>
        <v>#REF!</v>
      </c>
      <c r="AI6" s="2095">
        <f t="shared" si="0"/>
        <v>1255487</v>
      </c>
      <c r="AJ6" s="2096" t="e">
        <f t="shared" si="0"/>
        <v>#REF!</v>
      </c>
      <c r="AK6" s="2095">
        <f t="shared" si="0"/>
        <v>1122627</v>
      </c>
      <c r="AL6" s="2096" t="e">
        <f t="shared" si="0"/>
        <v>#REF!</v>
      </c>
      <c r="AM6" s="2097">
        <f t="shared" si="0"/>
        <v>3610920</v>
      </c>
      <c r="AN6" s="2098" t="e">
        <f t="shared" si="0"/>
        <v>#REF!</v>
      </c>
      <c r="AO6" s="2099" t="e">
        <f t="shared" si="0"/>
        <v>#REF!</v>
      </c>
      <c r="AP6" s="1715">
        <f t="shared" si="0"/>
        <v>1082227</v>
      </c>
      <c r="AQ6" s="1716" t="e">
        <f t="shared" si="0"/>
        <v>#REF!</v>
      </c>
      <c r="AR6" s="1715">
        <f t="shared" si="0"/>
        <v>1330819</v>
      </c>
      <c r="AS6" s="1716" t="e">
        <f t="shared" si="0"/>
        <v>#REF!</v>
      </c>
      <c r="AT6" s="1715">
        <f t="shared" si="0"/>
        <v>2253439</v>
      </c>
      <c r="AU6" s="1716" t="e">
        <f t="shared" si="0"/>
        <v>#REF!</v>
      </c>
      <c r="AV6" s="1723">
        <f t="shared" si="0"/>
        <v>4666485</v>
      </c>
      <c r="AW6" s="1727" t="e">
        <f t="shared" si="0"/>
        <v>#REF!</v>
      </c>
      <c r="AX6" s="1717" t="e">
        <f t="shared" si="0"/>
        <v>#REF!</v>
      </c>
      <c r="AY6" s="1828" t="e">
        <f t="shared" si="0"/>
        <v>#REF!</v>
      </c>
      <c r="AZ6" s="2029" t="e">
        <f t="shared" si="0"/>
        <v>#REF!</v>
      </c>
      <c r="BA6" s="1723">
        <f t="shared" si="0"/>
        <v>16047215</v>
      </c>
      <c r="BB6" s="1718" t="e">
        <f t="shared" si="0"/>
        <v>#REF!</v>
      </c>
      <c r="BC6" s="1719" t="e">
        <f>BC7+BC8+BC9+BC10+BC11+BC13+BC14+BC15</f>
        <v>#REF!</v>
      </c>
      <c r="BD6" s="2046"/>
      <c r="BE6" s="2046"/>
      <c r="BF6" s="2046" t="e">
        <f>V6+AE6+AN6+AW6</f>
        <v>#REF!</v>
      </c>
      <c r="BG6" s="416" t="e">
        <f>BB6-BB7</f>
        <v>#REF!</v>
      </c>
      <c r="BH6" s="406"/>
    </row>
    <row r="7" spans="1:69" ht="19.5" customHeight="1" x14ac:dyDescent="0.35">
      <c r="A7" s="1668"/>
      <c r="B7" s="1669" t="s">
        <v>624</v>
      </c>
      <c r="C7" s="1669"/>
      <c r="D7" s="1669"/>
      <c r="E7" s="1856">
        <f>SUM(F7,I7,L7)</f>
        <v>1104926</v>
      </c>
      <c r="F7" s="2100">
        <v>557700</v>
      </c>
      <c r="G7" s="2101">
        <v>557700</v>
      </c>
      <c r="H7" s="2063"/>
      <c r="I7" s="2102">
        <v>463503</v>
      </c>
      <c r="J7" s="2063">
        <v>463503</v>
      </c>
      <c r="K7" s="2063">
        <f>I7-J7</f>
        <v>0</v>
      </c>
      <c r="L7" s="2103">
        <v>83723</v>
      </c>
      <c r="M7" s="2063">
        <v>83723</v>
      </c>
      <c r="N7" s="2063">
        <f>L7-M7</f>
        <v>0</v>
      </c>
      <c r="O7" s="2104"/>
      <c r="P7" s="2105"/>
      <c r="Q7" s="2104"/>
      <c r="R7" s="2105"/>
      <c r="S7" s="2104"/>
      <c r="T7" s="2105"/>
      <c r="U7" s="2064"/>
      <c r="V7" s="2065">
        <f>SUM(P7+R7+T7)</f>
        <v>0</v>
      </c>
      <c r="W7" s="2066">
        <f>U7-V7</f>
        <v>0</v>
      </c>
      <c r="X7" s="2104"/>
      <c r="Y7" s="2105"/>
      <c r="Z7" s="2104"/>
      <c r="AA7" s="2105"/>
      <c r="AB7" s="2104"/>
      <c r="AC7" s="2105"/>
      <c r="AD7" s="2064">
        <f>SUM(X7+Z7+AB7)</f>
        <v>0</v>
      </c>
      <c r="AE7" s="2065">
        <f>SUM(Y7+AA7+AC7)</f>
        <v>0</v>
      </c>
      <c r="AF7" s="2066">
        <f>AD7-AE7</f>
        <v>0</v>
      </c>
      <c r="AG7" s="2104"/>
      <c r="AH7" s="2105"/>
      <c r="AI7" s="2104"/>
      <c r="AJ7" s="2105"/>
      <c r="AK7" s="2104"/>
      <c r="AL7" s="2105"/>
      <c r="AM7" s="2064">
        <f t="shared" ref="AM7:AN14" si="1">SUM(AG7+AI7+AK7)</f>
        <v>0</v>
      </c>
      <c r="AN7" s="2065">
        <f t="shared" si="1"/>
        <v>0</v>
      </c>
      <c r="AO7" s="2066">
        <f>AM7-AN7</f>
        <v>0</v>
      </c>
      <c r="AP7" s="1710"/>
      <c r="AQ7" s="1711"/>
      <c r="AR7" s="1710"/>
      <c r="AS7" s="1711"/>
      <c r="AT7" s="1710"/>
      <c r="AU7" s="1711"/>
      <c r="AV7" s="1724">
        <f t="shared" ref="AV7:AW14" si="2">SUM(AP7+AR7+AT7)</f>
        <v>0</v>
      </c>
      <c r="AW7" s="1728">
        <f t="shared" si="2"/>
        <v>0</v>
      </c>
      <c r="AX7" s="1712">
        <f>AV7-AW7</f>
        <v>0</v>
      </c>
      <c r="AY7" s="1891">
        <f>H7-V7-AE7</f>
        <v>0</v>
      </c>
      <c r="AZ7" s="2030">
        <f>K7-AN7+AY7</f>
        <v>0</v>
      </c>
      <c r="BA7" s="1724">
        <f>E7+U7+AD7+AM7+AV7</f>
        <v>1104926</v>
      </c>
      <c r="BB7" s="1700">
        <f t="shared" ref="BB7:BB15" si="3">G7+V7+AE7+AN7+AW7+J7+M7</f>
        <v>1104926</v>
      </c>
      <c r="BC7" s="1714">
        <f>E7-G7-V7-AE7-AN7-AW7-J7-M7</f>
        <v>0</v>
      </c>
      <c r="BD7" s="2047">
        <f>BA7-BB7</f>
        <v>0</v>
      </c>
      <c r="BE7" s="2047">
        <f>BC7-BD7</f>
        <v>0</v>
      </c>
      <c r="BF7" s="2046">
        <f t="shared" ref="BF7:BF63" si="4">V7+AE7+AN7+AW7</f>
        <v>0</v>
      </c>
      <c r="BH7" s="406"/>
    </row>
    <row r="8" spans="1:69" s="366" customFormat="1" ht="19.5" customHeight="1" x14ac:dyDescent="0.35">
      <c r="A8" s="1678"/>
      <c r="B8" s="2059" t="s">
        <v>663</v>
      </c>
      <c r="C8" s="2059"/>
      <c r="D8" s="2059"/>
      <c r="E8" s="2060">
        <f>F8+I8+L8</f>
        <v>4922135</v>
      </c>
      <c r="F8" s="2061">
        <f>U8+AD8</f>
        <v>2238335</v>
      </c>
      <c r="G8" s="1884"/>
      <c r="H8" s="2062">
        <f>F8-G8</f>
        <v>2238335</v>
      </c>
      <c r="I8" s="1926">
        <f>AM8</f>
        <v>1150200</v>
      </c>
      <c r="J8" s="2062"/>
      <c r="K8" s="2062">
        <f>I8-J8</f>
        <v>1150200</v>
      </c>
      <c r="L8" s="2042">
        <f>AV8</f>
        <v>1533600</v>
      </c>
      <c r="M8" s="2062"/>
      <c r="N8" s="2063">
        <f t="shared" ref="N8:N14" si="5">L8-M8</f>
        <v>1533600</v>
      </c>
      <c r="O8" s="1702">
        <v>372400</v>
      </c>
      <c r="P8" s="1703">
        <f>'[9]2.รายการ คชจ.ส่วนกลาง'!$AX$4+'[9]2.รายการ คชจ.ส่วนกลาง'!$AY$4+'[9]2.รายการ คชจ.ส่วนกลาง'!$AZ$4</f>
        <v>372400</v>
      </c>
      <c r="Q8" s="1702">
        <v>372400</v>
      </c>
      <c r="R8" s="1703">
        <f>'[9]2.รายการ คชจ.ส่วนกลาง'!$AX$5+'[9]2.รายการ คชจ.ส่วนกลาง'!$AY$5+'[9]2.รายการ คชจ.ส่วนกลาง'!$AZ$5</f>
        <v>372400</v>
      </c>
      <c r="S8" s="1702">
        <v>364335</v>
      </c>
      <c r="T8" s="1703">
        <f>'[9]2.รายการ คชจ.ส่วนกลาง'!$AX$6+'[9]2.รายการ คชจ.ส่วนกลาง'!$AY$6+'[9]2.รายการ คชจ.ส่วนกลาง'!$AZ$6</f>
        <v>364335</v>
      </c>
      <c r="U8" s="2064">
        <f>SUM(G8+O8+Q8+S8)</f>
        <v>1109135</v>
      </c>
      <c r="V8" s="2065">
        <f>SUM(P8+R8+T8)</f>
        <v>1109135</v>
      </c>
      <c r="W8" s="2066">
        <f>U8-V8</f>
        <v>0</v>
      </c>
      <c r="X8" s="1702">
        <v>372900</v>
      </c>
      <c r="Y8" s="1703">
        <f>'[9]2.รายการ คชจ.ส่วนกลาง'!$AX$7+'[9]2.รายการ คชจ.ส่วนกลาง'!$AY$7+'[9]2.รายการ คชจ.ส่วนกลาง'!$AZ$7</f>
        <v>372900</v>
      </c>
      <c r="Z8" s="1702">
        <v>372900</v>
      </c>
      <c r="AA8" s="1703">
        <f>'[9]2.รายการ คชจ.ส่วนกลาง'!$AX$8+'[9]2.รายการ คชจ.ส่วนกลาง'!$AY$8+'[9]2.รายการ คชจ.ส่วนกลาง'!$AZ$8</f>
        <v>372900</v>
      </c>
      <c r="AB8" s="1702">
        <v>383400</v>
      </c>
      <c r="AC8" s="1703">
        <f>'[9]2.รายการ คชจ.ส่วนกลาง'!$AX$9+'[9]2.รายการ คชจ.ส่วนกลาง'!$AY$9+'[9]2.รายการ คชจ.ส่วนกลาง'!$AZ$9</f>
        <v>382740</v>
      </c>
      <c r="AD8" s="1726">
        <f>X8+Z8+AB8</f>
        <v>1129200</v>
      </c>
      <c r="AE8" s="1730">
        <f t="shared" ref="AE8:AE63" si="6">SUM(Y8+AA8+AC8)</f>
        <v>1128540</v>
      </c>
      <c r="AF8" s="1697">
        <f>AD8-AE8</f>
        <v>660</v>
      </c>
      <c r="AG8" s="1702">
        <v>383400</v>
      </c>
      <c r="AH8" s="1703">
        <f>'[9]2.รายการ คชจ.ส่วนกลาง'!$AX$10+'[9]2.รายการ คชจ.ส่วนกลาง'!$AY$10+'[9]2.รายการ คชจ.ส่วนกลาง'!$AZ$10</f>
        <v>367940</v>
      </c>
      <c r="AI8" s="1702">
        <v>383400</v>
      </c>
      <c r="AJ8" s="1703">
        <f>'[9]2.รายการ คชจ.ส่วนกลาง'!$AX$11+'[9]2.รายการ คชจ.ส่วนกลาง'!$AY$11+'[9]2.รายการ คชจ.ส่วนกลาง'!$AZ$11</f>
        <v>382240</v>
      </c>
      <c r="AK8" s="1702">
        <v>383400</v>
      </c>
      <c r="AL8" s="1703">
        <f>'[9]2.รายการ คชจ.ส่วนกลาง'!$AX$12+'[9]2.รายการ คชจ.ส่วนกลาง'!$AY$12+'[9]2.รายการ คชจ.ส่วนกลาง'!$AZ$12</f>
        <v>382240</v>
      </c>
      <c r="AM8" s="1726">
        <f>AG8+AI8+AK8</f>
        <v>1150200</v>
      </c>
      <c r="AN8" s="1730">
        <f t="shared" si="1"/>
        <v>1132420</v>
      </c>
      <c r="AO8" s="1697">
        <f t="shared" ref="AO8:AO63" si="7">AM8-AN8</f>
        <v>17780</v>
      </c>
      <c r="AP8" s="1702">
        <v>383400</v>
      </c>
      <c r="AQ8" s="1703">
        <f>'[9]2.รายการ คชจ.ส่วนกลาง'!$AX$13+'[9]2.รายการ คชจ.ส่วนกลาง'!$AY$13+'[9]2.รายการ คชจ.ส่วนกลาง'!$AZ$13</f>
        <v>372620</v>
      </c>
      <c r="AR8" s="1702">
        <v>383400</v>
      </c>
      <c r="AS8" s="1703">
        <f>'[9]2.รายการ คชจ.ส่วนกลาง'!$AX$14+'[9]2.รายการ คชจ.ส่วนกลาง'!$AY$14+'[9]2.รายการ คชจ.ส่วนกลาง'!$AZ$14</f>
        <v>381619</v>
      </c>
      <c r="AT8" s="1702">
        <f>383400*2</f>
        <v>766800</v>
      </c>
      <c r="AU8" s="1703">
        <f>'[9]2.รายการ คชจ.ส่วนกลาง'!$AX$15+'[9]2.รายการ คชจ.ส่วนกลาง'!$AY$15+'[9]2.รายการ คชจ.ส่วนกลาง'!$AZ$15</f>
        <v>382240</v>
      </c>
      <c r="AV8" s="1726">
        <f>+AP8+AR8+AT8</f>
        <v>1533600</v>
      </c>
      <c r="AW8" s="1730"/>
      <c r="AX8" s="1697">
        <f t="shared" ref="AX8:AX63" si="8">AV8-AW8</f>
        <v>1533600</v>
      </c>
      <c r="AY8" s="2067">
        <f>H8-V8-AE8</f>
        <v>660</v>
      </c>
      <c r="AZ8" s="2068">
        <f t="shared" ref="AZ8:AZ61" si="9">K8-AN8+AY8</f>
        <v>18440</v>
      </c>
      <c r="BA8" s="2064">
        <f t="shared" ref="BA8:BA15" si="10">U8+AD8+AM8+AV8</f>
        <v>4922135</v>
      </c>
      <c r="BB8" s="1705">
        <f t="shared" si="3"/>
        <v>3370095</v>
      </c>
      <c r="BC8" s="2069">
        <f>E8-G8-V8-AE8-AN8-AW8</f>
        <v>1552040</v>
      </c>
      <c r="BD8" s="2047">
        <f>BA8-BB8</f>
        <v>1552040</v>
      </c>
      <c r="BE8" s="2047">
        <f t="shared" ref="BE8:BE63" si="11">BC8-BD8</f>
        <v>0</v>
      </c>
      <c r="BF8" s="2046">
        <f t="shared" si="4"/>
        <v>3370095</v>
      </c>
      <c r="BG8" s="395"/>
    </row>
    <row r="9" spans="1:69" s="366" customFormat="1" ht="19.5" customHeight="1" x14ac:dyDescent="0.35">
      <c r="A9" s="1678"/>
      <c r="B9" s="2059" t="s">
        <v>664</v>
      </c>
      <c r="C9" s="2059"/>
      <c r="D9" s="2059"/>
      <c r="E9" s="1856">
        <f t="shared" ref="E9:E14" si="12">F9+I9+L9</f>
        <v>1302391</v>
      </c>
      <c r="F9" s="2061">
        <f t="shared" ref="F9:F14" si="13">U9+AD9</f>
        <v>595972</v>
      </c>
      <c r="G9" s="1884"/>
      <c r="H9" s="2062">
        <f t="shared" ref="H9:H26" si="14">F9-G9</f>
        <v>595972</v>
      </c>
      <c r="I9" s="1926">
        <f t="shared" ref="I9:I14" si="15">AM9</f>
        <v>302751</v>
      </c>
      <c r="J9" s="2062"/>
      <c r="K9" s="2062">
        <f t="shared" ref="K9:K14" si="16">I9-J9</f>
        <v>302751</v>
      </c>
      <c r="L9" s="2042">
        <f t="shared" ref="L9:L14" si="17">AV9</f>
        <v>403668</v>
      </c>
      <c r="M9" s="2062"/>
      <c r="N9" s="2063">
        <f t="shared" si="5"/>
        <v>403668</v>
      </c>
      <c r="O9" s="1702">
        <v>99043</v>
      </c>
      <c r="P9" s="1703">
        <f>'[9]1.รายการผูกพัน (สัญญาทั้งปี)'!$AQ$4+'[9]1.รายการผูกพัน (สัญญาทั้งปี)'!$AR$4+'[9]1.รายการผูกพัน (สัญญาทั้งปี)'!$AS$4</f>
        <v>99043.48</v>
      </c>
      <c r="Q9" s="1702">
        <v>89907</v>
      </c>
      <c r="R9" s="1703">
        <f>'[9]1.รายการผูกพัน (สัญญาทั้งปี)'!$AQ$5+'[9]1.รายการผูกพัน (สัญญาทั้งปี)'!$AR$5+'[9]1.รายการผูกพัน (สัญญาทั้งปี)'!$AS$5</f>
        <v>89906.84</v>
      </c>
      <c r="S9" s="1702">
        <v>102230</v>
      </c>
      <c r="T9" s="1703">
        <f>'[9]1.รายการผูกพัน (สัญญาทั้งปี)'!$AQ$6+'[9]1.รายการผูกพัน (สัญญาทั้งปี)'!$AR$6+'[9]1.รายการผูกพัน (สัญญาทั้งปี)'!$AS$6</f>
        <v>102229.74</v>
      </c>
      <c r="U9" s="1726">
        <f t="shared" ref="U9:U14" si="18">SUM(O9+Q9+S9)</f>
        <v>291180</v>
      </c>
      <c r="V9" s="1730">
        <f t="shared" ref="V9:V63" si="19">SUM(P9+R9+T9)</f>
        <v>291180.06</v>
      </c>
      <c r="W9" s="1697">
        <f t="shared" ref="W9:W64" si="20">U9-V9</f>
        <v>-5.9999999997671694E-2</v>
      </c>
      <c r="X9" s="1702">
        <v>107158</v>
      </c>
      <c r="Y9" s="1703">
        <f>'[9]1.รายการผูกพัน (สัญญาทั้งปี)'!$AQ$7+'[9]1.รายการผูกพัน (สัญญาทั้งปี)'!$AR$7+'[9]1.รายการผูกพัน (สัญญาทั้งปี)'!$AS$7</f>
        <v>107157.58</v>
      </c>
      <c r="Z9" s="1702">
        <v>96717</v>
      </c>
      <c r="AA9" s="1703">
        <f>'[9]1.รายการผูกพัน (สัญญาทั้งปี)'!$AQ$8+'[9]1.รายการผูกพัน (สัญญาทั้งปี)'!$AR$8+'[9]1.รายการผูกพัน (สัญญาทั้งปี)'!$AS$8</f>
        <v>98515.47</v>
      </c>
      <c r="AB9" s="1702">
        <f>96717-13800+18000</f>
        <v>100917</v>
      </c>
      <c r="AC9" s="1703">
        <f>'[9]1.รายการผูกพัน (สัญญาทั้งปี)'!$AQ$9+'[9]1.รายการผูกพัน (สัญญาทั้งปี)'!$AR$9+'[9]1.รายการผูกพัน (สัญญาทั้งปี)'!$AS$9</f>
        <v>99979.03</v>
      </c>
      <c r="AD9" s="1726">
        <f t="shared" ref="AD9:AD63" si="21">SUM(X9+Z9+AB9)</f>
        <v>304792</v>
      </c>
      <c r="AE9" s="1730">
        <f t="shared" si="6"/>
        <v>305652.07999999996</v>
      </c>
      <c r="AF9" s="1697">
        <f>AD9-AE9</f>
        <v>-860.07999999995809</v>
      </c>
      <c r="AG9" s="1702">
        <f>96717-13800+18000</f>
        <v>100917</v>
      </c>
      <c r="AH9" s="1703">
        <f>'[9]1.รายการผูกพัน (สัญญาทั้งปี)'!$AQ$10+'[9]1.รายการผูกพัน (สัญญาทั้งปี)'!$AR$10+'[9]1.รายการผูกพัน (สัญญาทั้งปี)'!$AS$10</f>
        <v>95315.22</v>
      </c>
      <c r="AI9" s="1702">
        <f>96717-13800+18000</f>
        <v>100917</v>
      </c>
      <c r="AJ9" s="1703">
        <f>'[9]1.รายการผูกพัน (สัญญาทั้งปี)'!$AQ$11+'[9]1.รายการผูกพัน (สัญญาทั้งปี)'!$AR$11+'[9]1.รายการผูกพัน (สัญญาทั้งปี)'!$AS$11</f>
        <v>92299.45</v>
      </c>
      <c r="AK9" s="1702">
        <f>96717-13800+18000</f>
        <v>100917</v>
      </c>
      <c r="AL9" s="1703">
        <f>'[9]1.รายการผูกพัน (สัญญาทั้งปี)'!$AQ$12+'[9]1.รายการผูกพัน (สัญญาทั้งปี)'!$AR$12+'[9]1.รายการผูกพัน (สัญญาทั้งปี)'!$AS$12</f>
        <v>96107.62</v>
      </c>
      <c r="AM9" s="1726">
        <f t="shared" si="1"/>
        <v>302751</v>
      </c>
      <c r="AN9" s="1730">
        <f t="shared" si="1"/>
        <v>283722.28999999998</v>
      </c>
      <c r="AO9" s="1697">
        <f t="shared" si="7"/>
        <v>19028.710000000021</v>
      </c>
      <c r="AP9" s="1702">
        <f>96717-13800+18000</f>
        <v>100917</v>
      </c>
      <c r="AQ9" s="1703">
        <f>'[9]1.รายการผูกพัน (สัญญาทั้งปี)'!$AQ$13+'[9]1.รายการผูกพัน (สัญญาทั้งปี)'!$AR$13+'[9]1.รายการผูกพัน (สัญญาทั้งปี)'!$AS$13</f>
        <v>2033</v>
      </c>
      <c r="AR9" s="1702">
        <f>96717-13800+18000</f>
        <v>100917</v>
      </c>
      <c r="AS9" s="1703">
        <f>'[9]1.รายการผูกพัน (สัญญาทั้งปี)'!$AQ$14+'[9]1.รายการผูกพัน (สัญญาทั้งปี)'!$AR$14+'[9]1.รายการผูกพัน (สัญญาทั้งปี)'!$AS$14</f>
        <v>2033</v>
      </c>
      <c r="AT9" s="1702">
        <f>96717-13800+18000+100917</f>
        <v>201834</v>
      </c>
      <c r="AU9" s="1703">
        <f>'[9]1.รายการผูกพัน (สัญญาทั้งปี)'!$AQ$15+'[9]1.รายการผูกพัน (สัญญาทั้งปี)'!$AR$15+'[9]1.รายการผูกพัน (สัญญาทั้งปี)'!$AS$15</f>
        <v>2033</v>
      </c>
      <c r="AV9" s="1726">
        <f t="shared" si="2"/>
        <v>403668</v>
      </c>
      <c r="AW9" s="1730">
        <f t="shared" si="2"/>
        <v>6099</v>
      </c>
      <c r="AX9" s="1697">
        <f t="shared" si="8"/>
        <v>397569</v>
      </c>
      <c r="AY9" s="2067">
        <f t="shared" ref="AY9:AY26" si="22">H9-V9-AE9</f>
        <v>-860.13999999995576</v>
      </c>
      <c r="AZ9" s="2068">
        <f t="shared" si="9"/>
        <v>18168.570000000065</v>
      </c>
      <c r="BA9" s="2064">
        <f t="shared" si="10"/>
        <v>1302391</v>
      </c>
      <c r="BB9" s="1705">
        <f t="shared" si="3"/>
        <v>886653.42999999993</v>
      </c>
      <c r="BC9" s="2069">
        <f t="shared" ref="BC9:BC15" si="23">E9-G9-V9-AE9-AN9-AW9</f>
        <v>415737.57</v>
      </c>
      <c r="BD9" s="2047">
        <f t="shared" ref="BD9:BD15" si="24">BA9-BB9</f>
        <v>415737.57000000007</v>
      </c>
      <c r="BE9" s="2047">
        <f t="shared" si="11"/>
        <v>0</v>
      </c>
      <c r="BF9" s="2046">
        <f t="shared" si="4"/>
        <v>886653.42999999993</v>
      </c>
      <c r="BG9" s="395"/>
    </row>
    <row r="10" spans="1:69" s="366" customFormat="1" ht="19.5" customHeight="1" x14ac:dyDescent="0.35">
      <c r="A10" s="1678"/>
      <c r="B10" s="2059" t="s">
        <v>625</v>
      </c>
      <c r="C10" s="2059"/>
      <c r="D10" s="2059"/>
      <c r="E10" s="1856">
        <f t="shared" si="12"/>
        <v>5606877</v>
      </c>
      <c r="F10" s="2061">
        <f t="shared" si="13"/>
        <v>2654527</v>
      </c>
      <c r="G10" s="1884"/>
      <c r="H10" s="2062">
        <f t="shared" si="14"/>
        <v>2654527</v>
      </c>
      <c r="I10" s="1926">
        <f t="shared" si="15"/>
        <v>1316175</v>
      </c>
      <c r="J10" s="2062"/>
      <c r="K10" s="2062">
        <f t="shared" si="16"/>
        <v>1316175</v>
      </c>
      <c r="L10" s="2042">
        <f t="shared" si="17"/>
        <v>1636175</v>
      </c>
      <c r="M10" s="2062"/>
      <c r="N10" s="2063">
        <f t="shared" si="5"/>
        <v>1636175</v>
      </c>
      <c r="O10" s="1702">
        <v>459503</v>
      </c>
      <c r="P10" s="1703">
        <f>'[9]3. ค่าสาธารณูปโภค'!$BK$4</f>
        <v>459502.87</v>
      </c>
      <c r="Q10" s="1702">
        <v>451154</v>
      </c>
      <c r="R10" s="1703">
        <f>'[9]3. ค่าสาธารณูปโภค'!$BK$5</f>
        <v>451153.61</v>
      </c>
      <c r="S10" s="1702">
        <v>451695</v>
      </c>
      <c r="T10" s="1703">
        <f>'[9]3. ค่าสาธารณูปโภค'!$BK$6</f>
        <v>451694.55</v>
      </c>
      <c r="U10" s="1726">
        <f t="shared" si="18"/>
        <v>1362352</v>
      </c>
      <c r="V10" s="1730">
        <f>SUM(P10+R10+T10)</f>
        <v>1362351.03</v>
      </c>
      <c r="W10" s="1697">
        <f t="shared" si="20"/>
        <v>0.96999999997206032</v>
      </c>
      <c r="X10" s="1702">
        <v>426725</v>
      </c>
      <c r="Y10" s="1703">
        <f>'[9]3. ค่าสาธารณูปโภค'!$BK$7</f>
        <v>395146.18</v>
      </c>
      <c r="Z10" s="1702">
        <v>426725</v>
      </c>
      <c r="AA10" s="1703">
        <f>'[9]3. ค่าสาธารณูปโภค'!$BK$8</f>
        <v>402572.95999999996</v>
      </c>
      <c r="AB10" s="1702">
        <f>426725+12000</f>
        <v>438725</v>
      </c>
      <c r="AC10" s="1703">
        <f>'[9]3. ค่าสาธารณูปโภค'!$BK$9</f>
        <v>415331.57</v>
      </c>
      <c r="AD10" s="1726">
        <f t="shared" si="21"/>
        <v>1292175</v>
      </c>
      <c r="AE10" s="1730">
        <f t="shared" si="6"/>
        <v>1213050.71</v>
      </c>
      <c r="AF10" s="1697">
        <f t="shared" ref="AF10:AF63" si="25">AD10-AE10</f>
        <v>79124.290000000037</v>
      </c>
      <c r="AG10" s="1702">
        <f>426725+12000</f>
        <v>438725</v>
      </c>
      <c r="AH10" s="1703">
        <f>'[9]3. ค่าสาธารณูปโภค'!$BK$10</f>
        <v>423995.04</v>
      </c>
      <c r="AI10" s="1702">
        <f>426725+12000</f>
        <v>438725</v>
      </c>
      <c r="AJ10" s="1703">
        <f>'[9]3. ค่าสาธารณูปโภค'!$BK$11</f>
        <v>436651.07999999996</v>
      </c>
      <c r="AK10" s="1702">
        <f>426725+12000</f>
        <v>438725</v>
      </c>
      <c r="AL10" s="1703">
        <f>'[9]3. ค่าสาธารณูปโภค'!$BK$12</f>
        <v>421525.89999999997</v>
      </c>
      <c r="AM10" s="1726">
        <f t="shared" si="1"/>
        <v>1316175</v>
      </c>
      <c r="AN10" s="1730">
        <f t="shared" si="1"/>
        <v>1282172.0199999998</v>
      </c>
      <c r="AO10" s="1697">
        <f t="shared" si="7"/>
        <v>34002.980000000214</v>
      </c>
      <c r="AP10" s="1702">
        <f>426725+12000</f>
        <v>438725</v>
      </c>
      <c r="AQ10" s="1703">
        <f>'[9]3. ค่าสาธารณูปโภค'!$BK$13</f>
        <v>418905.35</v>
      </c>
      <c r="AR10" s="1702">
        <f>426725+12000</f>
        <v>438725</v>
      </c>
      <c r="AS10" s="1703">
        <f>'[9]3. ค่าสาธารณูปโภค'!$BK$14</f>
        <v>418914.67</v>
      </c>
      <c r="AT10" s="1702">
        <f>426725+12000+320000</f>
        <v>758725</v>
      </c>
      <c r="AU10" s="1703">
        <f>'[9]3. ค่าสาธารณูปโภค'!$BK$15</f>
        <v>331679.31</v>
      </c>
      <c r="AV10" s="1726">
        <f t="shared" si="2"/>
        <v>1636175</v>
      </c>
      <c r="AW10" s="1730">
        <f t="shared" si="2"/>
        <v>1169499.33</v>
      </c>
      <c r="AX10" s="1697">
        <f t="shared" si="8"/>
        <v>466675.66999999993</v>
      </c>
      <c r="AY10" s="2067">
        <f t="shared" si="22"/>
        <v>79125.260000000009</v>
      </c>
      <c r="AZ10" s="2068">
        <f t="shared" si="9"/>
        <v>113128.24000000022</v>
      </c>
      <c r="BA10" s="2064">
        <f t="shared" si="10"/>
        <v>5606877</v>
      </c>
      <c r="BB10" s="1705">
        <f t="shared" si="3"/>
        <v>5027073.09</v>
      </c>
      <c r="BC10" s="2069">
        <f t="shared" si="23"/>
        <v>579803.90999999992</v>
      </c>
      <c r="BD10" s="2047">
        <f t="shared" si="24"/>
        <v>579803.91000000015</v>
      </c>
      <c r="BE10" s="2047">
        <f t="shared" si="11"/>
        <v>0</v>
      </c>
      <c r="BF10" s="2046">
        <f t="shared" si="4"/>
        <v>5027073.09</v>
      </c>
      <c r="BG10" s="395"/>
    </row>
    <row r="11" spans="1:69" s="366" customFormat="1" ht="19.5" customHeight="1" x14ac:dyDescent="0.35">
      <c r="A11" s="1678"/>
      <c r="B11" s="2059" t="s">
        <v>690</v>
      </c>
      <c r="C11" s="2059"/>
      <c r="D11" s="2059"/>
      <c r="E11" s="1856">
        <f t="shared" si="12"/>
        <v>205504</v>
      </c>
      <c r="F11" s="2061">
        <f t="shared" si="13"/>
        <v>105504</v>
      </c>
      <c r="G11" s="1884"/>
      <c r="H11" s="2062">
        <f t="shared" si="14"/>
        <v>105504</v>
      </c>
      <c r="I11" s="1926">
        <f t="shared" si="15"/>
        <v>50000</v>
      </c>
      <c r="J11" s="2062"/>
      <c r="K11" s="2062">
        <f t="shared" si="16"/>
        <v>50000</v>
      </c>
      <c r="L11" s="2042">
        <f t="shared" si="17"/>
        <v>50000</v>
      </c>
      <c r="M11" s="2062"/>
      <c r="N11" s="2063">
        <f t="shared" si="5"/>
        <v>50000</v>
      </c>
      <c r="O11" s="1702">
        <v>0</v>
      </c>
      <c r="P11" s="1703">
        <f>'[10]15ค่าวัสดุคอมฯ'!$I$4</f>
        <v>0</v>
      </c>
      <c r="Q11" s="1702">
        <v>55504</v>
      </c>
      <c r="R11" s="1703">
        <f>'[10]สรุป ผอ.ศสส ผชช. รายเดือน'!$C$5</f>
        <v>55503.7</v>
      </c>
      <c r="S11" s="1702">
        <v>0</v>
      </c>
      <c r="T11" s="1703">
        <f>'[10]สรุป ผอ.ศสส ผชช. รายเดือน'!$C$6</f>
        <v>0</v>
      </c>
      <c r="U11" s="1726">
        <f t="shared" si="18"/>
        <v>55504</v>
      </c>
      <c r="V11" s="1730">
        <f t="shared" si="19"/>
        <v>55503.7</v>
      </c>
      <c r="W11" s="1697">
        <f t="shared" si="20"/>
        <v>0.30000000000291038</v>
      </c>
      <c r="X11" s="1702">
        <v>0</v>
      </c>
      <c r="Y11" s="1703">
        <f>'[10]สรุป ผอ.ศสส ผชช. รายเดือน'!$C$7</f>
        <v>13910</v>
      </c>
      <c r="Z11" s="1702">
        <v>0</v>
      </c>
      <c r="AA11" s="1703">
        <f>'[10]สรุป ผอ.ศสส ผชช. รายเดือน'!$C$8</f>
        <v>0</v>
      </c>
      <c r="AB11" s="1702">
        <v>50000</v>
      </c>
      <c r="AC11" s="1703">
        <f>'[10]สรุป ผอ.ศสส ผชช. รายเดือน'!$C$9</f>
        <v>0</v>
      </c>
      <c r="AD11" s="1726">
        <f t="shared" si="21"/>
        <v>50000</v>
      </c>
      <c r="AE11" s="1730">
        <f t="shared" si="6"/>
        <v>13910</v>
      </c>
      <c r="AF11" s="1697">
        <f t="shared" si="25"/>
        <v>36090</v>
      </c>
      <c r="AG11" s="1702">
        <v>0</v>
      </c>
      <c r="AH11" s="1703">
        <f>'[10]สรุป ผอ.ศสส ผชช. รายเดือน'!$C$10</f>
        <v>65590.17</v>
      </c>
      <c r="AI11" s="1702">
        <v>0</v>
      </c>
      <c r="AJ11" s="1703">
        <f>'[10]สรุป ผอ.ศสส ผชช. รายเดือน'!$C$11</f>
        <v>0</v>
      </c>
      <c r="AK11" s="1702">
        <v>50000</v>
      </c>
      <c r="AL11" s="1703">
        <f>'[10]สรุป ผอ.ศสส ผชช. รายเดือน'!$C$12</f>
        <v>0</v>
      </c>
      <c r="AM11" s="1726">
        <f t="shared" si="1"/>
        <v>50000</v>
      </c>
      <c r="AN11" s="1730">
        <f t="shared" si="1"/>
        <v>65590.17</v>
      </c>
      <c r="AO11" s="1697">
        <f t="shared" si="7"/>
        <v>-15590.169999999998</v>
      </c>
      <c r="AP11" s="1702">
        <v>0</v>
      </c>
      <c r="AQ11" s="1703">
        <f>'[10]สรุป ผอ.ศสส ผชช. รายเดือน'!$C$13</f>
        <v>2930</v>
      </c>
      <c r="AR11" s="1702">
        <v>0</v>
      </c>
      <c r="AS11" s="1703">
        <f>'[10]สรุป ผอ.ศสส ผชช. รายเดือน'!$C$14</f>
        <v>12709.2</v>
      </c>
      <c r="AT11" s="1702">
        <v>50000</v>
      </c>
      <c r="AU11" s="1703">
        <f>'[10]สรุป ผอ.ศสส ผชช. รายเดือน'!$C$15</f>
        <v>53856.800000000003</v>
      </c>
      <c r="AV11" s="1726">
        <f t="shared" si="2"/>
        <v>50000</v>
      </c>
      <c r="AW11" s="1730">
        <f t="shared" si="2"/>
        <v>69496</v>
      </c>
      <c r="AX11" s="1697">
        <f t="shared" si="8"/>
        <v>-19496</v>
      </c>
      <c r="AY11" s="2067">
        <f t="shared" si="22"/>
        <v>36090.300000000003</v>
      </c>
      <c r="AZ11" s="2068">
        <f>K11-AN11+AY11</f>
        <v>20500.130000000005</v>
      </c>
      <c r="BA11" s="2064">
        <f t="shared" si="10"/>
        <v>205504</v>
      </c>
      <c r="BB11" s="1705">
        <f t="shared" si="3"/>
        <v>204499.87</v>
      </c>
      <c r="BC11" s="2069">
        <f t="shared" si="23"/>
        <v>1004.1299999999901</v>
      </c>
      <c r="BD11" s="2047">
        <f t="shared" si="24"/>
        <v>1004.1300000000047</v>
      </c>
      <c r="BE11" s="2047">
        <f t="shared" si="11"/>
        <v>-1.4551915228366852E-11</v>
      </c>
      <c r="BF11" s="2046">
        <f t="shared" si="4"/>
        <v>204499.87</v>
      </c>
      <c r="BG11" s="395"/>
    </row>
    <row r="12" spans="1:69" s="366" customFormat="1" ht="19.5" hidden="1" customHeight="1" x14ac:dyDescent="0.35">
      <c r="A12" s="1678">
        <v>0</v>
      </c>
      <c r="B12" s="2059" t="s">
        <v>626</v>
      </c>
      <c r="C12" s="2059"/>
      <c r="D12" s="2059"/>
      <c r="E12" s="1856">
        <f t="shared" si="12"/>
        <v>100000</v>
      </c>
      <c r="F12" s="2061">
        <f t="shared" si="13"/>
        <v>50000</v>
      </c>
      <c r="G12" s="1884"/>
      <c r="H12" s="2062">
        <f t="shared" si="14"/>
        <v>50000</v>
      </c>
      <c r="I12" s="1926">
        <f t="shared" si="15"/>
        <v>25000</v>
      </c>
      <c r="J12" s="2062"/>
      <c r="K12" s="2062">
        <f t="shared" si="16"/>
        <v>25000</v>
      </c>
      <c r="L12" s="2042">
        <f t="shared" si="17"/>
        <v>25000</v>
      </c>
      <c r="M12" s="2062"/>
      <c r="N12" s="2063">
        <f t="shared" si="5"/>
        <v>25000</v>
      </c>
      <c r="O12" s="1702">
        <v>0</v>
      </c>
      <c r="P12" s="1703">
        <f>'[10]15ค่าวัสดุคอมฯ'!$I$4</f>
        <v>0</v>
      </c>
      <c r="Q12" s="1702"/>
      <c r="R12" s="1703">
        <f>'[10]15ค่าวัสดุคอมฯ'!$I$5</f>
        <v>32003.7</v>
      </c>
      <c r="S12" s="1702">
        <v>25000</v>
      </c>
      <c r="T12" s="1703">
        <f>'[10]15ค่าวัสดุคอมฯ'!$I$6</f>
        <v>0</v>
      </c>
      <c r="U12" s="1726">
        <f t="shared" si="18"/>
        <v>25000</v>
      </c>
      <c r="V12" s="1730">
        <f t="shared" si="19"/>
        <v>32003.7</v>
      </c>
      <c r="W12" s="1697">
        <f t="shared" si="20"/>
        <v>-7003.7000000000007</v>
      </c>
      <c r="X12" s="1702">
        <v>0</v>
      </c>
      <c r="Y12" s="1703">
        <f>'[10]15ค่าวัสดุคอมฯ'!$I$7</f>
        <v>0</v>
      </c>
      <c r="Z12" s="1702">
        <v>0</v>
      </c>
      <c r="AA12" s="1703">
        <f>'[10]15ค่าวัสดุคอมฯ'!$I$8</f>
        <v>0</v>
      </c>
      <c r="AB12" s="1702">
        <v>25000</v>
      </c>
      <c r="AC12" s="1703">
        <f>'[10]15ค่าวัสดุคอมฯ'!$I$9</f>
        <v>0</v>
      </c>
      <c r="AD12" s="1726">
        <f t="shared" si="21"/>
        <v>25000</v>
      </c>
      <c r="AE12" s="1730">
        <f t="shared" si="6"/>
        <v>0</v>
      </c>
      <c r="AF12" s="1697">
        <f t="shared" si="25"/>
        <v>25000</v>
      </c>
      <c r="AG12" s="1702">
        <v>0</v>
      </c>
      <c r="AH12" s="1703">
        <f>'[10]15ค่าวัสดุคอมฯ'!$I$10</f>
        <v>64788.5</v>
      </c>
      <c r="AI12" s="1702">
        <v>0</v>
      </c>
      <c r="AJ12" s="1703">
        <f>'[10]15ค่าวัสดุคอมฯ'!$I$11</f>
        <v>0</v>
      </c>
      <c r="AK12" s="1702">
        <v>25000</v>
      </c>
      <c r="AL12" s="1703">
        <f>'[10]15ค่าวัสดุคอมฯ'!$I$12</f>
        <v>0</v>
      </c>
      <c r="AM12" s="1726">
        <f>SUM(AG12+AI12+AK12)</f>
        <v>25000</v>
      </c>
      <c r="AN12" s="1730">
        <f t="shared" si="1"/>
        <v>64788.5</v>
      </c>
      <c r="AO12" s="1697">
        <f t="shared" si="7"/>
        <v>-39788.5</v>
      </c>
      <c r="AP12" s="1702">
        <v>0</v>
      </c>
      <c r="AQ12" s="1703">
        <f>'[10]15ค่าวัสดุคอมฯ'!$I$13</f>
        <v>0</v>
      </c>
      <c r="AR12" s="1702">
        <v>0</v>
      </c>
      <c r="AS12" s="1703">
        <f>'[10]15ค่าวัสดุคอมฯ'!$I$14</f>
        <v>12369.2</v>
      </c>
      <c r="AT12" s="1702">
        <v>25000</v>
      </c>
      <c r="AU12" s="1703">
        <f>'[10]15ค่าวัสดุคอมฯ'!$I$15</f>
        <v>48955.8</v>
      </c>
      <c r="AV12" s="1726">
        <f t="shared" si="2"/>
        <v>25000</v>
      </c>
      <c r="AW12" s="1730">
        <f t="shared" si="2"/>
        <v>61325</v>
      </c>
      <c r="AX12" s="1697">
        <f t="shared" si="8"/>
        <v>-36325</v>
      </c>
      <c r="AY12" s="2067">
        <f t="shared" si="22"/>
        <v>17996.3</v>
      </c>
      <c r="AZ12" s="2068">
        <f t="shared" si="9"/>
        <v>-21792.2</v>
      </c>
      <c r="BA12" s="2064">
        <f t="shared" si="10"/>
        <v>100000</v>
      </c>
      <c r="BB12" s="1705">
        <f t="shared" si="3"/>
        <v>158117.20000000001</v>
      </c>
      <c r="BC12" s="2069">
        <f t="shared" si="23"/>
        <v>-58117.2</v>
      </c>
      <c r="BD12" s="2047">
        <f t="shared" si="24"/>
        <v>-58117.200000000012</v>
      </c>
      <c r="BE12" s="2047">
        <f t="shared" si="11"/>
        <v>0</v>
      </c>
      <c r="BF12" s="2046">
        <f t="shared" si="4"/>
        <v>158117.20000000001</v>
      </c>
      <c r="BG12" s="395"/>
    </row>
    <row r="13" spans="1:69" s="366" customFormat="1" ht="19.5" customHeight="1" x14ac:dyDescent="0.35">
      <c r="A13" s="1678"/>
      <c r="B13" s="2059" t="s">
        <v>648</v>
      </c>
      <c r="C13" s="2059"/>
      <c r="D13" s="2059"/>
      <c r="E13" s="1856">
        <f t="shared" si="12"/>
        <v>100000</v>
      </c>
      <c r="F13" s="2061">
        <f t="shared" si="13"/>
        <v>26200</v>
      </c>
      <c r="G13" s="1884"/>
      <c r="H13" s="2062">
        <f t="shared" si="14"/>
        <v>26200</v>
      </c>
      <c r="I13" s="1926">
        <f t="shared" si="15"/>
        <v>28800</v>
      </c>
      <c r="J13" s="2062"/>
      <c r="K13" s="2062">
        <f t="shared" si="16"/>
        <v>28800</v>
      </c>
      <c r="L13" s="2042">
        <f t="shared" si="17"/>
        <v>45000</v>
      </c>
      <c r="M13" s="2062"/>
      <c r="N13" s="2063">
        <f t="shared" si="5"/>
        <v>45000</v>
      </c>
      <c r="O13" s="1702">
        <v>3000</v>
      </c>
      <c r="P13" s="1703">
        <f>'[9]2.รายการ คชจ.ส่วนกลาง'!$BB$4</f>
        <v>3000</v>
      </c>
      <c r="Q13" s="1702">
        <v>8000</v>
      </c>
      <c r="R13" s="1703">
        <f>'[9]2.รายการ คชจ.ส่วนกลาง'!$BB$5</f>
        <v>8000</v>
      </c>
      <c r="S13" s="1702">
        <v>6900</v>
      </c>
      <c r="T13" s="1703">
        <f>'[9]2.รายการ คชจ.ส่วนกลาง'!$BB$6</f>
        <v>6900</v>
      </c>
      <c r="U13" s="1726">
        <f t="shared" si="18"/>
        <v>17900</v>
      </c>
      <c r="V13" s="1730">
        <f t="shared" si="19"/>
        <v>17900</v>
      </c>
      <c r="W13" s="1697">
        <f t="shared" si="20"/>
        <v>0</v>
      </c>
      <c r="X13" s="1702">
        <v>300</v>
      </c>
      <c r="Y13" s="1703">
        <f>'[9]2.รายการ คชจ.ส่วนกลาง'!$BB$7</f>
        <v>300</v>
      </c>
      <c r="Z13" s="1702">
        <v>3000</v>
      </c>
      <c r="AA13" s="1703">
        <f>'[9]2.รายการ คชจ.ส่วนกลาง'!$BB$8</f>
        <v>3000</v>
      </c>
      <c r="AB13" s="1702">
        <v>5000</v>
      </c>
      <c r="AC13" s="1703">
        <f>'[9]2.รายการ คชจ.ส่วนกลาง'!$BB$9</f>
        <v>2990</v>
      </c>
      <c r="AD13" s="1726">
        <f t="shared" si="21"/>
        <v>8300</v>
      </c>
      <c r="AE13" s="1730">
        <f t="shared" si="6"/>
        <v>6290</v>
      </c>
      <c r="AF13" s="1697">
        <f t="shared" si="25"/>
        <v>2010</v>
      </c>
      <c r="AG13" s="1702">
        <v>5000</v>
      </c>
      <c r="AH13" s="1703">
        <f>'[9]2.รายการ คชจ.ส่วนกลาง'!$BB$10</f>
        <v>1500</v>
      </c>
      <c r="AI13" s="1702">
        <v>8800</v>
      </c>
      <c r="AJ13" s="1703">
        <f>'[9]2.รายการ คชจ.ส่วนกลาง'!$BB$11</f>
        <v>1800</v>
      </c>
      <c r="AK13" s="1702">
        <v>15000</v>
      </c>
      <c r="AL13" s="1703">
        <f>'[9]2.รายการ คชจ.ส่วนกลาง'!$BB$12</f>
        <v>1300</v>
      </c>
      <c r="AM13" s="1726">
        <f>SUM(AG13+AI13+AK13)</f>
        <v>28800</v>
      </c>
      <c r="AN13" s="1730">
        <f t="shared" si="1"/>
        <v>4600</v>
      </c>
      <c r="AO13" s="1697">
        <f t="shared" si="7"/>
        <v>24200</v>
      </c>
      <c r="AP13" s="1702">
        <v>15000</v>
      </c>
      <c r="AQ13" s="1703">
        <f>'[9]2.รายการ คชจ.ส่วนกลาง'!$BB$13</f>
        <v>1800</v>
      </c>
      <c r="AR13" s="1702">
        <v>15000</v>
      </c>
      <c r="AS13" s="1703">
        <f>'[9]2.รายการ คชจ.ส่วนกลาง'!$BB$14</f>
        <v>3340</v>
      </c>
      <c r="AT13" s="1702">
        <v>15000</v>
      </c>
      <c r="AU13" s="1703">
        <f>'[9]2.รายการ คชจ.ส่วนกลาง'!$BB$15</f>
        <v>300</v>
      </c>
      <c r="AV13" s="1726">
        <f t="shared" si="2"/>
        <v>45000</v>
      </c>
      <c r="AW13" s="1730">
        <f t="shared" si="2"/>
        <v>5440</v>
      </c>
      <c r="AX13" s="1697">
        <f t="shared" si="8"/>
        <v>39560</v>
      </c>
      <c r="AY13" s="2067">
        <f t="shared" si="22"/>
        <v>2010</v>
      </c>
      <c r="AZ13" s="2068">
        <f t="shared" si="9"/>
        <v>26210</v>
      </c>
      <c r="BA13" s="2064">
        <f t="shared" si="10"/>
        <v>100000</v>
      </c>
      <c r="BB13" s="1705">
        <f t="shared" si="3"/>
        <v>34230</v>
      </c>
      <c r="BC13" s="2069">
        <f t="shared" si="23"/>
        <v>65770</v>
      </c>
      <c r="BD13" s="2047">
        <f t="shared" si="24"/>
        <v>65770</v>
      </c>
      <c r="BE13" s="2047">
        <f t="shared" si="11"/>
        <v>0</v>
      </c>
      <c r="BF13" s="2046">
        <f t="shared" si="4"/>
        <v>34230</v>
      </c>
      <c r="BG13" s="395"/>
    </row>
    <row r="14" spans="1:69" ht="19.5" customHeight="1" x14ac:dyDescent="0.35">
      <c r="A14" s="1668"/>
      <c r="B14" s="1669" t="s">
        <v>775</v>
      </c>
      <c r="C14" s="1669"/>
      <c r="D14" s="1669"/>
      <c r="E14" s="1856">
        <f t="shared" si="12"/>
        <v>75000</v>
      </c>
      <c r="F14" s="2061">
        <f t="shared" si="13"/>
        <v>37500</v>
      </c>
      <c r="G14" s="1884"/>
      <c r="H14" s="2062">
        <f t="shared" si="14"/>
        <v>37500</v>
      </c>
      <c r="I14" s="1926">
        <f t="shared" si="15"/>
        <v>18750</v>
      </c>
      <c r="J14" s="2062"/>
      <c r="K14" s="2062">
        <f t="shared" si="16"/>
        <v>18750</v>
      </c>
      <c r="L14" s="2042">
        <f t="shared" si="17"/>
        <v>18750</v>
      </c>
      <c r="M14" s="2062"/>
      <c r="N14" s="2063">
        <f t="shared" si="5"/>
        <v>18750</v>
      </c>
      <c r="O14" s="1702">
        <v>6250</v>
      </c>
      <c r="P14" s="1703">
        <f>'[9]2.รายการ คชจ.ส่วนกลาง'!$BA$4+'[9]1.รายการผูกพัน (สัญญาทั้งปี)'!$AT$4</f>
        <v>6600</v>
      </c>
      <c r="Q14" s="1702">
        <v>6250</v>
      </c>
      <c r="R14" s="1703">
        <f>'[9]1.รายการผูกพัน (สัญญาทั้งปี)'!$AT$5+'[9]2.รายการ คชจ.ส่วนกลาง'!$BA$5</f>
        <v>3663</v>
      </c>
      <c r="S14" s="1702">
        <v>6250</v>
      </c>
      <c r="T14" s="1703">
        <f>'[9]2.รายการ คชจ.ส่วนกลาง'!$BA$6+'[9]1.รายการผูกพัน (สัญญาทั้งปี)'!$AT$6</f>
        <v>7227</v>
      </c>
      <c r="U14" s="1726">
        <f t="shared" si="18"/>
        <v>18750</v>
      </c>
      <c r="V14" s="1730">
        <f t="shared" si="19"/>
        <v>17490</v>
      </c>
      <c r="W14" s="1697">
        <f t="shared" si="20"/>
        <v>1260</v>
      </c>
      <c r="X14" s="1702">
        <v>6250</v>
      </c>
      <c r="Y14" s="1703">
        <f>'[9]2.รายการ คชจ.ส่วนกลาง'!$BA$7+'[9]1.รายการผูกพัน (สัญญาทั้งปี)'!$AT$7</f>
        <v>6732</v>
      </c>
      <c r="Z14" s="1702">
        <v>6250</v>
      </c>
      <c r="AA14" s="1703">
        <f>'[9]2.รายการ คชจ.ส่วนกลาง'!$BA$8+'[9]1.รายการผูกพัน (สัญญาทั้งปี)'!$AT$8</f>
        <v>7392</v>
      </c>
      <c r="AB14" s="1702">
        <v>6250</v>
      </c>
      <c r="AC14" s="1703">
        <f>'[9]2.รายการ คชจ.ส่วนกลาง'!$BA$9+'[9]1.รายการผูกพัน (สัญญาทั้งปี)'!$AT$9</f>
        <v>11616</v>
      </c>
      <c r="AD14" s="1726">
        <f t="shared" si="21"/>
        <v>18750</v>
      </c>
      <c r="AE14" s="1730">
        <f t="shared" si="6"/>
        <v>25740</v>
      </c>
      <c r="AF14" s="1697">
        <f t="shared" si="25"/>
        <v>-6990</v>
      </c>
      <c r="AG14" s="1702">
        <v>6250</v>
      </c>
      <c r="AH14" s="1703">
        <f>'[9]2.รายการ คชจ.ส่วนกลาง'!$BA$10+'[9]1.รายการผูกพัน (สัญญาทั้งปี)'!$AT$10</f>
        <v>5280</v>
      </c>
      <c r="AI14" s="1702">
        <v>6250</v>
      </c>
      <c r="AJ14" s="1703">
        <f>'[9]2.รายการ คชจ.ส่วนกลาง'!$BA$11+'[9]1.รายการผูกพัน (สัญญาทั้งปี)'!$AT$11</f>
        <v>6336</v>
      </c>
      <c r="AK14" s="1702">
        <v>6250</v>
      </c>
      <c r="AL14" s="1703">
        <f>'[9]2.รายการ คชจ.ส่วนกลาง'!$BA$12+'[9]1.รายการผูกพัน (สัญญาทั้งปี)'!$AT$12</f>
        <v>8013</v>
      </c>
      <c r="AM14" s="1726">
        <f>SUM(AG14+AI14+AK14)</f>
        <v>18750</v>
      </c>
      <c r="AN14" s="1730">
        <f t="shared" si="1"/>
        <v>19629</v>
      </c>
      <c r="AO14" s="1697">
        <f t="shared" si="7"/>
        <v>-879</v>
      </c>
      <c r="AP14" s="1698">
        <v>6250</v>
      </c>
      <c r="AQ14" s="1699">
        <f>'[9]2.รายการ คชจ.ส่วนกลาง'!$BA$13+'[9]1.รายการผูกพัน (สัญญาทั้งปี)'!$AT$13</f>
        <v>7348</v>
      </c>
      <c r="AR14" s="1698">
        <v>6250</v>
      </c>
      <c r="AS14" s="1699">
        <f>'[9]2.รายการ คชจ.ส่วนกลาง'!$BA$14+'[9]1.รายการผูกพัน (สัญญาทั้งปี)'!$AT$14</f>
        <v>7475</v>
      </c>
      <c r="AT14" s="1698">
        <v>6250</v>
      </c>
      <c r="AU14" s="1699">
        <f>'[9]2.รายการ คชจ.ส่วนกลาง'!$BA$15+'[9]1.รายการผูกพัน (สัญญาทั้งปี)'!$AT$15</f>
        <v>7921</v>
      </c>
      <c r="AV14" s="1725">
        <f t="shared" si="2"/>
        <v>18750</v>
      </c>
      <c r="AW14" s="1729">
        <f t="shared" si="2"/>
        <v>22744</v>
      </c>
      <c r="AX14" s="1696">
        <f t="shared" si="8"/>
        <v>-3994</v>
      </c>
      <c r="AY14" s="1892">
        <f>H14-V14-AE14</f>
        <v>-5730</v>
      </c>
      <c r="AZ14" s="2031">
        <f t="shared" si="9"/>
        <v>-6609</v>
      </c>
      <c r="BA14" s="1724">
        <f t="shared" si="10"/>
        <v>75000</v>
      </c>
      <c r="BB14" s="1700">
        <f t="shared" si="3"/>
        <v>85603</v>
      </c>
      <c r="BC14" s="1714">
        <f t="shared" si="23"/>
        <v>-10603</v>
      </c>
      <c r="BD14" s="2047">
        <f t="shared" si="24"/>
        <v>-10603</v>
      </c>
      <c r="BE14" s="2047">
        <f t="shared" si="11"/>
        <v>0</v>
      </c>
      <c r="BF14" s="2046">
        <f t="shared" si="4"/>
        <v>85603</v>
      </c>
    </row>
    <row r="15" spans="1:69" ht="22.5" customHeight="1" x14ac:dyDescent="0.35">
      <c r="A15" s="1670" t="s">
        <v>778</v>
      </c>
      <c r="B15" s="1671"/>
      <c r="C15" s="1671"/>
      <c r="D15" s="1669"/>
      <c r="E15" s="2106">
        <f>SUM(E16:E25)</f>
        <v>2730382</v>
      </c>
      <c r="F15" s="2106">
        <f>SUM(F16:F25)</f>
        <v>1006846</v>
      </c>
      <c r="G15" s="2106">
        <f>SUM(G16:G25)</f>
        <v>0</v>
      </c>
      <c r="H15" s="2106">
        <f>SUM(H16:H25)</f>
        <v>1006846</v>
      </c>
      <c r="I15" s="2106">
        <f>SUM(I16:I25)</f>
        <v>744244</v>
      </c>
      <c r="J15" s="2107"/>
      <c r="K15" s="2107">
        <f>SUM(K16:K25)</f>
        <v>744244</v>
      </c>
      <c r="L15" s="2108">
        <f>SUM(L16:L25)</f>
        <v>979292</v>
      </c>
      <c r="M15" s="2107"/>
      <c r="N15" s="2107">
        <f>SUM(N16:N25)</f>
        <v>979292</v>
      </c>
      <c r="O15" s="2109">
        <f t="shared" ref="O15:V15" si="26">SUM(O16:O25)</f>
        <v>97748</v>
      </c>
      <c r="P15" s="2110" t="e">
        <f t="shared" si="26"/>
        <v>#REF!</v>
      </c>
      <c r="Q15" s="2109">
        <f t="shared" si="26"/>
        <v>83508</v>
      </c>
      <c r="R15" s="2110" t="e">
        <f t="shared" si="26"/>
        <v>#REF!</v>
      </c>
      <c r="S15" s="2109">
        <f t="shared" si="26"/>
        <v>197680</v>
      </c>
      <c r="T15" s="2110" t="e">
        <f t="shared" si="26"/>
        <v>#REF!</v>
      </c>
      <c r="U15" s="2111">
        <f>SUM(U16:U25)</f>
        <v>378936</v>
      </c>
      <c r="V15" s="2112" t="e">
        <f t="shared" si="26"/>
        <v>#REF!</v>
      </c>
      <c r="W15" s="2113" t="e">
        <f t="shared" si="20"/>
        <v>#REF!</v>
      </c>
      <c r="X15" s="2109">
        <f t="shared" ref="X15:AE15" si="27">SUM(X16:X25)</f>
        <v>91064</v>
      </c>
      <c r="Y15" s="2110" t="e">
        <f t="shared" si="27"/>
        <v>#REF!</v>
      </c>
      <c r="Z15" s="2109">
        <f t="shared" si="27"/>
        <v>186285</v>
      </c>
      <c r="AA15" s="2110" t="e">
        <f t="shared" si="27"/>
        <v>#REF!</v>
      </c>
      <c r="AB15" s="2109">
        <f t="shared" si="27"/>
        <v>350561</v>
      </c>
      <c r="AC15" s="2110" t="e">
        <f t="shared" si="27"/>
        <v>#REF!</v>
      </c>
      <c r="AD15" s="2111">
        <f t="shared" si="27"/>
        <v>627910</v>
      </c>
      <c r="AE15" s="2112" t="e">
        <f t="shared" si="27"/>
        <v>#REF!</v>
      </c>
      <c r="AF15" s="2113" t="e">
        <f t="shared" si="25"/>
        <v>#REF!</v>
      </c>
      <c r="AG15" s="2109">
        <f t="shared" ref="AG15:AN15" si="28">SUM(AG16:AG25)</f>
        <v>298514</v>
      </c>
      <c r="AH15" s="2110" t="e">
        <f t="shared" si="28"/>
        <v>#REF!</v>
      </c>
      <c r="AI15" s="2109">
        <f t="shared" si="28"/>
        <v>317395</v>
      </c>
      <c r="AJ15" s="2110" t="e">
        <f t="shared" si="28"/>
        <v>#REF!</v>
      </c>
      <c r="AK15" s="2109">
        <f t="shared" si="28"/>
        <v>128335</v>
      </c>
      <c r="AL15" s="2110" t="e">
        <f t="shared" si="28"/>
        <v>#REF!</v>
      </c>
      <c r="AM15" s="2111">
        <f t="shared" si="28"/>
        <v>744244</v>
      </c>
      <c r="AN15" s="2112" t="e">
        <f t="shared" si="28"/>
        <v>#REF!</v>
      </c>
      <c r="AO15" s="2113" t="e">
        <f t="shared" si="7"/>
        <v>#REF!</v>
      </c>
      <c r="AP15" s="1772">
        <f t="shared" ref="AP15:AW15" si="29">SUM(AP16:AP25)</f>
        <v>137935</v>
      </c>
      <c r="AQ15" s="1773" t="e">
        <f t="shared" si="29"/>
        <v>#REF!</v>
      </c>
      <c r="AR15" s="1772">
        <f t="shared" si="29"/>
        <v>386527</v>
      </c>
      <c r="AS15" s="1773" t="e">
        <f t="shared" si="29"/>
        <v>#REF!</v>
      </c>
      <c r="AT15" s="1772">
        <f t="shared" si="29"/>
        <v>454830</v>
      </c>
      <c r="AU15" s="1773" t="e">
        <f t="shared" si="29"/>
        <v>#REF!</v>
      </c>
      <c r="AV15" s="1767">
        <f t="shared" si="29"/>
        <v>979292</v>
      </c>
      <c r="AW15" s="1768" t="e">
        <f t="shared" si="29"/>
        <v>#REF!</v>
      </c>
      <c r="AX15" s="1769" t="e">
        <f t="shared" si="8"/>
        <v>#REF!</v>
      </c>
      <c r="AY15" s="1890" t="e">
        <f t="shared" si="22"/>
        <v>#REF!</v>
      </c>
      <c r="AZ15" s="2034" t="e">
        <f t="shared" si="9"/>
        <v>#REF!</v>
      </c>
      <c r="BA15" s="1767">
        <f t="shared" si="10"/>
        <v>2730382</v>
      </c>
      <c r="BB15" s="1770" t="e">
        <f t="shared" si="3"/>
        <v>#REF!</v>
      </c>
      <c r="BC15" s="1771" t="e">
        <f t="shared" si="23"/>
        <v>#REF!</v>
      </c>
      <c r="BD15" s="2047" t="e">
        <f t="shared" si="24"/>
        <v>#REF!</v>
      </c>
      <c r="BE15" s="2047" t="e">
        <f t="shared" si="11"/>
        <v>#REF!</v>
      </c>
      <c r="BF15" s="2046" t="e">
        <f t="shared" si="4"/>
        <v>#REF!</v>
      </c>
      <c r="BG15" s="473">
        <f>BA15-E15</f>
        <v>0</v>
      </c>
      <c r="BH15" s="2004" t="s">
        <v>749</v>
      </c>
      <c r="BI15" s="1998" t="s">
        <v>751</v>
      </c>
      <c r="BJ15" s="383" t="s">
        <v>750</v>
      </c>
      <c r="BK15" s="2010" t="s">
        <v>754</v>
      </c>
      <c r="BL15" s="2001" t="s">
        <v>752</v>
      </c>
      <c r="BM15" s="2007" t="s">
        <v>753</v>
      </c>
      <c r="BN15" s="385" t="s">
        <v>757</v>
      </c>
      <c r="BO15" s="2011" t="s">
        <v>756</v>
      </c>
      <c r="BP15" s="555" t="s">
        <v>755</v>
      </c>
      <c r="BQ15" s="366" t="s">
        <v>758</v>
      </c>
    </row>
    <row r="16" spans="1:69" ht="20.25" customHeight="1" x14ac:dyDescent="0.35">
      <c r="A16" s="1676"/>
      <c r="B16" s="1672" t="s">
        <v>6</v>
      </c>
      <c r="C16" s="1673"/>
      <c r="D16" s="1673"/>
      <c r="E16" s="1856">
        <f t="shared" ref="E16:E24" si="30">F16+I16+L16</f>
        <v>700985</v>
      </c>
      <c r="F16" s="2114">
        <f>U16+AD16</f>
        <v>126882</v>
      </c>
      <c r="G16" s="2101"/>
      <c r="H16" s="2115">
        <f>F16-G16</f>
        <v>126882</v>
      </c>
      <c r="I16" s="1926">
        <f t="shared" ref="I16:I25" si="31">AM16</f>
        <v>91529</v>
      </c>
      <c r="J16" s="2115"/>
      <c r="K16" s="2115">
        <f>I16-J16</f>
        <v>91529</v>
      </c>
      <c r="L16" s="2116">
        <f>AV16</f>
        <v>482574</v>
      </c>
      <c r="M16" s="2115"/>
      <c r="N16" s="2115">
        <f>L16-M16</f>
        <v>482574</v>
      </c>
      <c r="O16" s="2104">
        <v>2295</v>
      </c>
      <c r="P16" s="2105">
        <f>'[11] สรุป ฝบท. รายเดือน'!$C$4</f>
        <v>2295</v>
      </c>
      <c r="Q16" s="2104">
        <v>35304</v>
      </c>
      <c r="R16" s="2105">
        <f>'[11] สรุป ฝบท. รายเดือน'!$C$5</f>
        <v>35304.089999999997</v>
      </c>
      <c r="S16" s="2104">
        <v>45097</v>
      </c>
      <c r="T16" s="2105">
        <f>'[11] สรุป ฝบท. รายเดือน'!$C$6</f>
        <v>45097.440000000002</v>
      </c>
      <c r="U16" s="2064">
        <f>O16+Q16+S16</f>
        <v>82696</v>
      </c>
      <c r="V16" s="2065">
        <f>SUM(P16+R16+T16)</f>
        <v>82696.53</v>
      </c>
      <c r="W16" s="2066">
        <f t="shared" si="20"/>
        <v>-0.52999999999883585</v>
      </c>
      <c r="X16" s="2104">
        <v>3880</v>
      </c>
      <c r="Y16" s="2105">
        <f>'[11] สรุป ฝบท. รายเดือน'!$C$7</f>
        <v>3880</v>
      </c>
      <c r="Z16" s="2104">
        <v>26550</v>
      </c>
      <c r="AA16" s="2105">
        <f>'[11] สรุป ฝบท. รายเดือน'!$C$8</f>
        <v>26550.2</v>
      </c>
      <c r="AB16" s="2104">
        <v>13756</v>
      </c>
      <c r="AC16" s="2105">
        <f>'[11] สรุป ฝบท. รายเดือน'!$C$9</f>
        <v>13756.29</v>
      </c>
      <c r="AD16" s="2064">
        <f>SUM(X16+Z16+AB16)</f>
        <v>44186</v>
      </c>
      <c r="AE16" s="2065">
        <f t="shared" si="6"/>
        <v>44186.490000000005</v>
      </c>
      <c r="AF16" s="2066">
        <f t="shared" si="25"/>
        <v>-0.49000000000523869</v>
      </c>
      <c r="AG16" s="2104">
        <v>77021</v>
      </c>
      <c r="AH16" s="2105">
        <f>'[11] สรุป ฝบท. รายเดือน'!$C$10</f>
        <v>77020.649999999994</v>
      </c>
      <c r="AI16" s="2104">
        <v>14508</v>
      </c>
      <c r="AJ16" s="2105">
        <f>'[11] สรุป ฝบท. รายเดือน'!$C$11</f>
        <v>14507.5</v>
      </c>
      <c r="AK16" s="2104"/>
      <c r="AL16" s="2105">
        <f>'[11] สรุป ฝบท. รายเดือน'!$C$12</f>
        <v>40480.49</v>
      </c>
      <c r="AM16" s="2064">
        <f>SUM(AG16+AI16+AK16)</f>
        <v>91529</v>
      </c>
      <c r="AN16" s="2065">
        <f t="shared" ref="AN16:AN63" si="32">SUM(AH16+AJ16+AL16)</f>
        <v>132008.63999999998</v>
      </c>
      <c r="AO16" s="2066">
        <f t="shared" si="7"/>
        <v>-40479.639999999985</v>
      </c>
      <c r="AP16" s="2104">
        <v>30000</v>
      </c>
      <c r="AQ16" s="2105">
        <f>'[11] สรุป ฝบท. รายเดือน'!$C$13</f>
        <v>22526.33</v>
      </c>
      <c r="AR16" s="2057">
        <f>40000+35584+22500</f>
        <v>98084</v>
      </c>
      <c r="AS16" s="2058">
        <f>'[11] สรุป ฝบท. รายเดือน'!$C$14</f>
        <v>94566.53</v>
      </c>
      <c r="AT16" s="2057">
        <f>40000-33000+347490</f>
        <v>354490</v>
      </c>
      <c r="AU16" s="2058">
        <f>'[11] สรุป ฝบท. รายเดือน'!$C$15</f>
        <v>416257.7</v>
      </c>
      <c r="AV16" s="2064">
        <f>SUM(AP16+AR16+AT16)</f>
        <v>482574</v>
      </c>
      <c r="AW16" s="2065">
        <f t="shared" ref="AW16:AW63" si="33">SUM(AQ16+AS16+AU16)</f>
        <v>533350.56000000006</v>
      </c>
      <c r="AX16" s="2066">
        <f t="shared" si="8"/>
        <v>-50776.560000000056</v>
      </c>
      <c r="AY16" s="2129">
        <f t="shared" si="22"/>
        <v>-1.0200000000040745</v>
      </c>
      <c r="AZ16" s="2068">
        <f>K16-AN16+AY16</f>
        <v>-40480.659999999989</v>
      </c>
      <c r="BA16" s="2064">
        <f t="shared" ref="BA16:BA25" si="34">G16+U16+AD16+AM16+AV16+J16+M16</f>
        <v>700985</v>
      </c>
      <c r="BB16" s="2220">
        <f>G16+V16+AE16+AN16+AW16+J16</f>
        <v>792242.22</v>
      </c>
      <c r="BC16" s="2069">
        <f>E16-BB16</f>
        <v>-91257.219999999972</v>
      </c>
      <c r="BD16" s="2219">
        <f>BA16-BB16</f>
        <v>-91257.219999999972</v>
      </c>
      <c r="BE16" s="2047">
        <f t="shared" si="11"/>
        <v>0</v>
      </c>
      <c r="BF16" s="2046">
        <f t="shared" si="4"/>
        <v>792242.22</v>
      </c>
      <c r="BG16" s="1993"/>
      <c r="BH16" s="2005">
        <f t="shared" ref="BH16:BH25" si="35">AB16+AG16+AI16+AK16+AP16+AR16+AT16</f>
        <v>587859</v>
      </c>
      <c r="BI16" s="1999">
        <f t="shared" ref="BI16:BI25" si="36">O16+Q16+S16+X16+Z16</f>
        <v>113126</v>
      </c>
      <c r="BJ16" s="1995">
        <f t="shared" ref="BJ16:BJ26" si="37">BH16+BI16</f>
        <v>700985</v>
      </c>
      <c r="BK16" s="827">
        <f t="shared" ref="BK16:BK25" si="38">E16-BA16</f>
        <v>0</v>
      </c>
      <c r="BL16" s="2002">
        <f t="shared" ref="BL16:BL25" si="39">P16+R16+T16+Y16+AA16</f>
        <v>113126.73</v>
      </c>
      <c r="BM16" s="2008">
        <f t="shared" ref="BM16:BM25" si="40">AC16+AH16+AJ16+AL16+AQ16+AS16+AU16</f>
        <v>679115.49</v>
      </c>
      <c r="BN16" s="1992">
        <f>BL16+BM16</f>
        <v>792242.22</v>
      </c>
      <c r="BO16" s="2012">
        <f>BI16-BL16</f>
        <v>-0.72999999999592546</v>
      </c>
      <c r="BP16" s="1995">
        <f t="shared" ref="BP16:BP26" si="41">BH16-BM16</f>
        <v>-91256.489999999991</v>
      </c>
      <c r="BQ16" s="1992">
        <f>BJ16-BL16-BM16</f>
        <v>-91257.219999999972</v>
      </c>
    </row>
    <row r="17" spans="1:78" ht="20.25" customHeight="1" x14ac:dyDescent="0.35">
      <c r="A17" s="1676"/>
      <c r="B17" s="1674" t="s">
        <v>2</v>
      </c>
      <c r="C17" s="1675"/>
      <c r="D17" s="1675"/>
      <c r="E17" s="1856">
        <f t="shared" si="30"/>
        <v>63575</v>
      </c>
      <c r="F17" s="2061">
        <f>U17+AD17</f>
        <v>55680</v>
      </c>
      <c r="G17" s="1884"/>
      <c r="H17" s="2062">
        <f t="shared" si="14"/>
        <v>55680</v>
      </c>
      <c r="I17" s="1926">
        <f t="shared" si="31"/>
        <v>6695</v>
      </c>
      <c r="J17" s="2062"/>
      <c r="K17" s="2115">
        <f t="shared" ref="K17:K25" si="42">I17-J17</f>
        <v>6695</v>
      </c>
      <c r="L17" s="2116">
        <f t="shared" ref="L17:L25" si="43">AV17</f>
        <v>1200</v>
      </c>
      <c r="M17" s="2062"/>
      <c r="N17" s="2115">
        <f t="shared" ref="N17:N25" si="44">L17-M17</f>
        <v>1200</v>
      </c>
      <c r="O17" s="1702">
        <v>1450</v>
      </c>
      <c r="P17" s="1703" t="e">
        <f>#REF!</f>
        <v>#REF!</v>
      </c>
      <c r="Q17" s="1702">
        <v>0</v>
      </c>
      <c r="R17" s="1703" t="e">
        <f>#REF!</f>
        <v>#REF!</v>
      </c>
      <c r="S17" s="1702">
        <v>22140</v>
      </c>
      <c r="T17" s="1703" t="e">
        <f>#REF!</f>
        <v>#REF!</v>
      </c>
      <c r="U17" s="1726">
        <f t="shared" ref="U17:U25" si="45">SUM(O17+Q17+S17)</f>
        <v>23590</v>
      </c>
      <c r="V17" s="1730" t="e">
        <f t="shared" si="19"/>
        <v>#REF!</v>
      </c>
      <c r="W17" s="1697" t="e">
        <f t="shared" si="20"/>
        <v>#REF!</v>
      </c>
      <c r="X17" s="1702">
        <v>1290</v>
      </c>
      <c r="Y17" s="1703" t="e">
        <f>#REF!</f>
        <v>#REF!</v>
      </c>
      <c r="Z17" s="1702">
        <v>0</v>
      </c>
      <c r="AA17" s="1703" t="e">
        <f>#REF!</f>
        <v>#REF!</v>
      </c>
      <c r="AB17" s="1702">
        <v>30800</v>
      </c>
      <c r="AC17" s="1703" t="e">
        <f>#REF!</f>
        <v>#REF!</v>
      </c>
      <c r="AD17" s="2064">
        <f t="shared" ref="AD17:AD25" si="46">SUM(X17+Z17+AB17)</f>
        <v>32090</v>
      </c>
      <c r="AE17" s="1730" t="e">
        <f t="shared" si="6"/>
        <v>#REF!</v>
      </c>
      <c r="AF17" s="1697" t="e">
        <f t="shared" si="25"/>
        <v>#REF!</v>
      </c>
      <c r="AG17" s="1702">
        <v>961</v>
      </c>
      <c r="AH17" s="1703" t="e">
        <f>#REF!</f>
        <v>#REF!</v>
      </c>
      <c r="AI17" s="1702">
        <v>5134</v>
      </c>
      <c r="AJ17" s="1703" t="e">
        <f>#REF!</f>
        <v>#REF!</v>
      </c>
      <c r="AK17" s="1702">
        <v>600</v>
      </c>
      <c r="AL17" s="1703" t="e">
        <f>#REF!</f>
        <v>#REF!</v>
      </c>
      <c r="AM17" s="2064">
        <f t="shared" ref="AM17:AM25" si="47">SUM(AG17+AI17+AK17)</f>
        <v>6695</v>
      </c>
      <c r="AN17" s="1730" t="e">
        <f t="shared" si="32"/>
        <v>#REF!</v>
      </c>
      <c r="AO17" s="1697" t="e">
        <f t="shared" si="7"/>
        <v>#REF!</v>
      </c>
      <c r="AP17" s="1702">
        <v>600</v>
      </c>
      <c r="AQ17" s="1703" t="e">
        <f>#REF!</f>
        <v>#REF!</v>
      </c>
      <c r="AR17" s="1702">
        <v>600</v>
      </c>
      <c r="AS17" s="1703" t="e">
        <f>#REF!</f>
        <v>#REF!</v>
      </c>
      <c r="AT17" s="1702">
        <f>[20]สพร.!$M$157</f>
        <v>0</v>
      </c>
      <c r="AU17" s="1703" t="e">
        <f>#REF!</f>
        <v>#REF!</v>
      </c>
      <c r="AV17" s="2064">
        <f t="shared" ref="AV17:AV25" si="48">SUM(AP17+AR17+AT17)</f>
        <v>1200</v>
      </c>
      <c r="AW17" s="1730" t="e">
        <f t="shared" si="33"/>
        <v>#REF!</v>
      </c>
      <c r="AX17" s="1697" t="e">
        <f t="shared" si="8"/>
        <v>#REF!</v>
      </c>
      <c r="AY17" s="1830" t="e">
        <f t="shared" si="22"/>
        <v>#REF!</v>
      </c>
      <c r="AZ17" s="2068" t="e">
        <f t="shared" si="9"/>
        <v>#REF!</v>
      </c>
      <c r="BA17" s="2064">
        <f t="shared" si="34"/>
        <v>63575</v>
      </c>
      <c r="BB17" s="1705" t="e">
        <f>G17+V17+AE17+AN17+AW17+J17</f>
        <v>#REF!</v>
      </c>
      <c r="BC17" s="1704" t="e">
        <f t="shared" ref="BC17:BC25" si="49">E17-BB17</f>
        <v>#REF!</v>
      </c>
      <c r="BD17" s="2219" t="e">
        <f t="shared" ref="BD17:BD25" si="50">BA17-BB17</f>
        <v>#REF!</v>
      </c>
      <c r="BE17" s="2047" t="e">
        <f t="shared" si="11"/>
        <v>#REF!</v>
      </c>
      <c r="BF17" s="2046" t="e">
        <f t="shared" si="4"/>
        <v>#REF!</v>
      </c>
      <c r="BG17" s="473"/>
      <c r="BH17" s="2005">
        <f t="shared" si="35"/>
        <v>38695</v>
      </c>
      <c r="BI17" s="1999">
        <f t="shared" si="36"/>
        <v>24880</v>
      </c>
      <c r="BJ17" s="1995">
        <f t="shared" si="37"/>
        <v>63575</v>
      </c>
      <c r="BK17" s="827">
        <f t="shared" si="38"/>
        <v>0</v>
      </c>
      <c r="BL17" s="2002" t="e">
        <f t="shared" si="39"/>
        <v>#REF!</v>
      </c>
      <c r="BM17" s="2008" t="e">
        <f t="shared" si="40"/>
        <v>#REF!</v>
      </c>
      <c r="BN17" s="1992" t="e">
        <f t="shared" ref="BN17:BN25" si="51">BL17+BM17</f>
        <v>#REF!</v>
      </c>
      <c r="BO17" s="2012" t="e">
        <f t="shared" ref="BO17:BO26" si="52">BI17-BL17</f>
        <v>#REF!</v>
      </c>
      <c r="BP17" s="1995" t="e">
        <f t="shared" si="41"/>
        <v>#REF!</v>
      </c>
      <c r="BQ17" s="1992" t="e">
        <f t="shared" ref="BQ17:BQ25" si="53">BJ17-BL17-BM17</f>
        <v>#REF!</v>
      </c>
    </row>
    <row r="18" spans="1:78" ht="20.25" customHeight="1" x14ac:dyDescent="0.35">
      <c r="A18" s="1676"/>
      <c r="B18" s="1674" t="s">
        <v>1</v>
      </c>
      <c r="C18" s="1675"/>
      <c r="D18" s="1675"/>
      <c r="E18" s="1856">
        <f t="shared" si="30"/>
        <v>31489</v>
      </c>
      <c r="F18" s="2061">
        <f>U18+AD18</f>
        <v>7045</v>
      </c>
      <c r="G18" s="1884"/>
      <c r="H18" s="2062">
        <f>F18-G18</f>
        <v>7045</v>
      </c>
      <c r="I18" s="1926">
        <f t="shared" si="31"/>
        <v>24444</v>
      </c>
      <c r="J18" s="2062"/>
      <c r="K18" s="2115">
        <f t="shared" si="42"/>
        <v>24444</v>
      </c>
      <c r="L18" s="2116">
        <f t="shared" si="43"/>
        <v>0</v>
      </c>
      <c r="M18" s="2062"/>
      <c r="N18" s="2115">
        <f t="shared" si="44"/>
        <v>0</v>
      </c>
      <c r="O18" s="1702">
        <v>3210</v>
      </c>
      <c r="P18" s="1703" t="e">
        <f>#REF!</f>
        <v>#REF!</v>
      </c>
      <c r="Q18" s="1702">
        <v>0</v>
      </c>
      <c r="R18" s="1703" t="e">
        <f>#REF!</f>
        <v>#REF!</v>
      </c>
      <c r="S18" s="1702">
        <v>630</v>
      </c>
      <c r="T18" s="1703" t="e">
        <f>#REF!</f>
        <v>#REF!</v>
      </c>
      <c r="U18" s="1726">
        <f t="shared" si="45"/>
        <v>3840</v>
      </c>
      <c r="V18" s="1730" t="e">
        <f t="shared" si="19"/>
        <v>#REF!</v>
      </c>
      <c r="W18" s="1697" t="e">
        <f t="shared" si="20"/>
        <v>#REF!</v>
      </c>
      <c r="X18" s="1702">
        <v>0</v>
      </c>
      <c r="Y18" s="1703" t="e">
        <f>#REF!</f>
        <v>#REF!</v>
      </c>
      <c r="Z18" s="1702">
        <v>315</v>
      </c>
      <c r="AA18" s="1703" t="e">
        <f>#REF!</f>
        <v>#REF!</v>
      </c>
      <c r="AB18" s="1702">
        <v>2890</v>
      </c>
      <c r="AC18" s="1703" t="e">
        <f>#REF!</f>
        <v>#REF!</v>
      </c>
      <c r="AD18" s="2064">
        <f t="shared" si="46"/>
        <v>3205</v>
      </c>
      <c r="AE18" s="1730" t="e">
        <f t="shared" si="6"/>
        <v>#REF!</v>
      </c>
      <c r="AF18" s="1697" t="e">
        <f t="shared" si="25"/>
        <v>#REF!</v>
      </c>
      <c r="AG18" s="1702">
        <v>961</v>
      </c>
      <c r="AH18" s="1703" t="e">
        <f>#REF!</f>
        <v>#REF!</v>
      </c>
      <c r="AI18" s="1702">
        <v>19098</v>
      </c>
      <c r="AJ18" s="1703">
        <v>19098</v>
      </c>
      <c r="AK18" s="1702">
        <v>4385</v>
      </c>
      <c r="AL18" s="1703" t="e">
        <f>#REF!</f>
        <v>#REF!</v>
      </c>
      <c r="AM18" s="2064">
        <f t="shared" si="47"/>
        <v>24444</v>
      </c>
      <c r="AN18" s="1730" t="e">
        <f t="shared" si="32"/>
        <v>#REF!</v>
      </c>
      <c r="AO18" s="1697" t="e">
        <f t="shared" si="7"/>
        <v>#REF!</v>
      </c>
      <c r="AP18" s="1702">
        <v>0</v>
      </c>
      <c r="AQ18" s="1703" t="e">
        <f>#REF!</f>
        <v>#REF!</v>
      </c>
      <c r="AR18" s="1702">
        <v>0</v>
      </c>
      <c r="AS18" s="1703" t="e">
        <f>#REF!</f>
        <v>#REF!</v>
      </c>
      <c r="AT18" s="1702">
        <v>0</v>
      </c>
      <c r="AU18" s="1703" t="e">
        <f>#REF!</f>
        <v>#REF!</v>
      </c>
      <c r="AV18" s="2064">
        <f t="shared" si="48"/>
        <v>0</v>
      </c>
      <c r="AW18" s="1730" t="e">
        <f t="shared" si="33"/>
        <v>#REF!</v>
      </c>
      <c r="AX18" s="1697" t="e">
        <f t="shared" si="8"/>
        <v>#REF!</v>
      </c>
      <c r="AY18" s="1830" t="e">
        <f>H18-V18-AE18</f>
        <v>#REF!</v>
      </c>
      <c r="AZ18" s="2068" t="e">
        <f t="shared" si="9"/>
        <v>#REF!</v>
      </c>
      <c r="BA18" s="2064">
        <f t="shared" si="34"/>
        <v>31489</v>
      </c>
      <c r="BB18" s="1705" t="e">
        <f t="shared" ref="BB18:BB45" si="54">G18+V18+AE18+AN18+AW18</f>
        <v>#REF!</v>
      </c>
      <c r="BC18" s="1704" t="e">
        <f t="shared" si="49"/>
        <v>#REF!</v>
      </c>
      <c r="BD18" s="2219" t="e">
        <f t="shared" si="50"/>
        <v>#REF!</v>
      </c>
      <c r="BE18" s="2047" t="e">
        <f t="shared" si="11"/>
        <v>#REF!</v>
      </c>
      <c r="BF18" s="2046" t="e">
        <f t="shared" si="4"/>
        <v>#REF!</v>
      </c>
      <c r="BG18" s="472"/>
      <c r="BH18" s="2005">
        <f t="shared" si="35"/>
        <v>27334</v>
      </c>
      <c r="BI18" s="1999">
        <f t="shared" si="36"/>
        <v>4155</v>
      </c>
      <c r="BJ18" s="1995">
        <f t="shared" si="37"/>
        <v>31489</v>
      </c>
      <c r="BK18" s="827">
        <f t="shared" si="38"/>
        <v>0</v>
      </c>
      <c r="BL18" s="2002" t="e">
        <f t="shared" si="39"/>
        <v>#REF!</v>
      </c>
      <c r="BM18" s="2008" t="e">
        <f t="shared" si="40"/>
        <v>#REF!</v>
      </c>
      <c r="BN18" s="1992" t="e">
        <f t="shared" si="51"/>
        <v>#REF!</v>
      </c>
      <c r="BO18" s="2012" t="e">
        <f t="shared" si="52"/>
        <v>#REF!</v>
      </c>
      <c r="BP18" s="1995" t="e">
        <f t="shared" si="41"/>
        <v>#REF!</v>
      </c>
      <c r="BQ18" s="1992" t="e">
        <f t="shared" si="53"/>
        <v>#REF!</v>
      </c>
    </row>
    <row r="19" spans="1:78" ht="20.25" customHeight="1" x14ac:dyDescent="0.35">
      <c r="A19" s="1676"/>
      <c r="B19" s="1674" t="s">
        <v>3</v>
      </c>
      <c r="C19" s="1675"/>
      <c r="D19" s="1675"/>
      <c r="E19" s="1856">
        <f t="shared" si="30"/>
        <v>29433</v>
      </c>
      <c r="F19" s="2061">
        <f t="shared" ref="F19:F25" si="55">U19+AD19</f>
        <v>8355</v>
      </c>
      <c r="G19" s="1884"/>
      <c r="H19" s="2062">
        <f t="shared" si="14"/>
        <v>8355</v>
      </c>
      <c r="I19" s="1926">
        <f t="shared" si="31"/>
        <v>20078</v>
      </c>
      <c r="J19" s="2062"/>
      <c r="K19" s="2115">
        <f t="shared" si="42"/>
        <v>20078</v>
      </c>
      <c r="L19" s="2116">
        <f t="shared" si="43"/>
        <v>1000</v>
      </c>
      <c r="M19" s="2062"/>
      <c r="N19" s="2115">
        <f t="shared" si="44"/>
        <v>1000</v>
      </c>
      <c r="O19" s="1702">
        <v>0</v>
      </c>
      <c r="P19" s="1703">
        <f>'[12]สรุป สสป. รายเดือน'!$C$4</f>
        <v>0</v>
      </c>
      <c r="Q19" s="1702">
        <v>1530</v>
      </c>
      <c r="R19" s="1703">
        <f>'[12]สรุป สสป. รายเดือน'!$C$5</f>
        <v>1530</v>
      </c>
      <c r="S19" s="1702">
        <v>6055</v>
      </c>
      <c r="T19" s="1703">
        <f>'[12]สรุป สสป. รายเดือน'!$C$6</f>
        <v>6054.8</v>
      </c>
      <c r="U19" s="1726">
        <f t="shared" si="45"/>
        <v>7585</v>
      </c>
      <c r="V19" s="1730">
        <f>SUM(P19+R19+T19)</f>
        <v>7584.8</v>
      </c>
      <c r="W19" s="1697">
        <f t="shared" si="20"/>
        <v>0.1999999999998181</v>
      </c>
      <c r="X19" s="1702">
        <v>0</v>
      </c>
      <c r="Y19" s="1703">
        <f>'[12]สรุป สสป. รายเดือน'!$C$7</f>
        <v>0</v>
      </c>
      <c r="Z19" s="1702">
        <v>0</v>
      </c>
      <c r="AA19" s="1703">
        <f>'[12]สรุป สสป. รายเดือน'!$C$8</f>
        <v>0</v>
      </c>
      <c r="AB19" s="1702">
        <v>770</v>
      </c>
      <c r="AC19" s="1703">
        <f>'[12]สรุป สสป. รายเดือน'!$C$9</f>
        <v>770</v>
      </c>
      <c r="AD19" s="2064">
        <f t="shared" si="46"/>
        <v>770</v>
      </c>
      <c r="AE19" s="1730">
        <f t="shared" si="6"/>
        <v>770</v>
      </c>
      <c r="AF19" s="1697">
        <f t="shared" si="25"/>
        <v>0</v>
      </c>
      <c r="AG19" s="1702">
        <v>480</v>
      </c>
      <c r="AH19" s="1703">
        <f>'[12]สรุป สสป. รายเดือน'!$C$10</f>
        <v>480.43</v>
      </c>
      <c r="AI19" s="1702">
        <v>19098</v>
      </c>
      <c r="AJ19" s="1703">
        <f>'[12]สรุป สสป. รายเดือน'!$C$11</f>
        <v>19098.43</v>
      </c>
      <c r="AK19" s="1702">
        <v>500</v>
      </c>
      <c r="AL19" s="1703">
        <f>'[12]สรุป สสป. รายเดือน'!$C$12</f>
        <v>900.43000000000006</v>
      </c>
      <c r="AM19" s="2064">
        <f t="shared" si="47"/>
        <v>20078</v>
      </c>
      <c r="AN19" s="1730">
        <f t="shared" si="32"/>
        <v>20479.29</v>
      </c>
      <c r="AO19" s="1697">
        <f t="shared" si="7"/>
        <v>-401.29000000000087</v>
      </c>
      <c r="AP19" s="1702">
        <v>500</v>
      </c>
      <c r="AQ19" s="1703">
        <f>'[12]สรุป สสป. รายเดือน'!$C$13</f>
        <v>480.43</v>
      </c>
      <c r="AR19" s="1702">
        <v>500</v>
      </c>
      <c r="AS19" s="1703">
        <f>'[12]สรุป สสป. รายเดือน'!$C$14</f>
        <v>480.43</v>
      </c>
      <c r="AT19" s="1702">
        <v>0</v>
      </c>
      <c r="AU19" s="1703">
        <f>'[12]สรุป สสป. รายเดือน'!$C$15</f>
        <v>480.43</v>
      </c>
      <c r="AV19" s="2064">
        <f t="shared" si="48"/>
        <v>1000</v>
      </c>
      <c r="AW19" s="1730">
        <f t="shared" si="33"/>
        <v>1441.29</v>
      </c>
      <c r="AX19" s="1697">
        <f t="shared" si="8"/>
        <v>-441.28999999999996</v>
      </c>
      <c r="AY19" s="1830">
        <f t="shared" si="22"/>
        <v>0.1999999999998181</v>
      </c>
      <c r="AZ19" s="2068">
        <f t="shared" si="9"/>
        <v>-401.09000000000106</v>
      </c>
      <c r="BA19" s="2064">
        <f t="shared" si="34"/>
        <v>29433</v>
      </c>
      <c r="BB19" s="1705">
        <f t="shared" si="54"/>
        <v>30275.38</v>
      </c>
      <c r="BC19" s="1704">
        <f t="shared" si="49"/>
        <v>-842.38000000000102</v>
      </c>
      <c r="BD19" s="2219">
        <f t="shared" si="50"/>
        <v>-842.38000000000102</v>
      </c>
      <c r="BE19" s="2047">
        <f t="shared" si="11"/>
        <v>0</v>
      </c>
      <c r="BF19" s="2046">
        <f t="shared" si="4"/>
        <v>30275.38</v>
      </c>
      <c r="BG19" s="473"/>
      <c r="BH19" s="2005">
        <f t="shared" si="35"/>
        <v>21848</v>
      </c>
      <c r="BI19" s="1999">
        <f t="shared" si="36"/>
        <v>7585</v>
      </c>
      <c r="BJ19" s="1995">
        <f t="shared" si="37"/>
        <v>29433</v>
      </c>
      <c r="BK19" s="827">
        <f t="shared" si="38"/>
        <v>0</v>
      </c>
      <c r="BL19" s="2002">
        <f t="shared" si="39"/>
        <v>7584.8</v>
      </c>
      <c r="BM19" s="2008">
        <f t="shared" si="40"/>
        <v>22690.58</v>
      </c>
      <c r="BN19" s="1992">
        <f t="shared" si="51"/>
        <v>30275.38</v>
      </c>
      <c r="BO19" s="2012">
        <f t="shared" si="52"/>
        <v>0.1999999999998181</v>
      </c>
      <c r="BP19" s="1995">
        <f t="shared" si="41"/>
        <v>-842.58000000000175</v>
      </c>
      <c r="BQ19" s="1992">
        <f t="shared" si="53"/>
        <v>-842.38000000000102</v>
      </c>
    </row>
    <row r="20" spans="1:78" s="366" customFormat="1" ht="20.25" customHeight="1" x14ac:dyDescent="0.35">
      <c r="A20" s="1676"/>
      <c r="B20" s="1674" t="s">
        <v>24</v>
      </c>
      <c r="C20" s="1675"/>
      <c r="D20" s="1675"/>
      <c r="E20" s="1856">
        <f t="shared" si="30"/>
        <v>436519</v>
      </c>
      <c r="F20" s="2061">
        <f t="shared" si="55"/>
        <v>57641</v>
      </c>
      <c r="G20" s="1884"/>
      <c r="H20" s="2062">
        <f t="shared" si="14"/>
        <v>57641</v>
      </c>
      <c r="I20" s="1926">
        <f t="shared" si="31"/>
        <v>220898</v>
      </c>
      <c r="J20" s="2062"/>
      <c r="K20" s="2115">
        <f t="shared" si="42"/>
        <v>220898</v>
      </c>
      <c r="L20" s="2116">
        <f t="shared" si="43"/>
        <v>157980</v>
      </c>
      <c r="M20" s="2062"/>
      <c r="N20" s="2115">
        <f t="shared" si="44"/>
        <v>157980</v>
      </c>
      <c r="O20" s="1702">
        <v>5100</v>
      </c>
      <c r="P20" s="1703">
        <f>'[13]สรุป สภท. รายเดือน'!$C$4</f>
        <v>5100</v>
      </c>
      <c r="Q20" s="1702">
        <v>1520</v>
      </c>
      <c r="R20" s="1703">
        <f>'[13]สรุป สภท. รายเดือน'!$C$5</f>
        <v>1520</v>
      </c>
      <c r="S20" s="1702">
        <v>19700</v>
      </c>
      <c r="T20" s="1703">
        <f>'[13]สรุป สภท. รายเดือน'!$C$6</f>
        <v>19700</v>
      </c>
      <c r="U20" s="1726">
        <f t="shared" si="45"/>
        <v>26320</v>
      </c>
      <c r="V20" s="1730">
        <f>SUM(P20+R20+T20)</f>
        <v>26320</v>
      </c>
      <c r="W20" s="1697">
        <f t="shared" si="20"/>
        <v>0</v>
      </c>
      <c r="X20" s="1702">
        <v>2700</v>
      </c>
      <c r="Y20" s="1703">
        <f>'[13]สรุป สภท. รายเดือน'!$C$7</f>
        <v>2700</v>
      </c>
      <c r="Z20" s="1702">
        <v>0</v>
      </c>
      <c r="AA20" s="1703">
        <f>'[13]สรุป สภท. รายเดือน'!$C$8</f>
        <v>0</v>
      </c>
      <c r="AB20" s="1702">
        <v>28621</v>
      </c>
      <c r="AC20" s="1703">
        <f>'[13]สรุป สภท. รายเดือน'!$C$9</f>
        <v>28620.799999999999</v>
      </c>
      <c r="AD20" s="2064">
        <f t="shared" si="46"/>
        <v>31321</v>
      </c>
      <c r="AE20" s="1730">
        <f t="shared" si="6"/>
        <v>31320.799999999999</v>
      </c>
      <c r="AF20" s="1697">
        <f t="shared" si="25"/>
        <v>0.2000000000007276</v>
      </c>
      <c r="AG20" s="1702">
        <v>143918</v>
      </c>
      <c r="AH20" s="1703">
        <f>'[13]สรุป สภท. รายเดือน'!$C$10</f>
        <v>143918</v>
      </c>
      <c r="AI20" s="1702">
        <v>41980</v>
      </c>
      <c r="AJ20" s="1703">
        <f>'[13]สรุป สภท. รายเดือน'!$C$11</f>
        <v>41980</v>
      </c>
      <c r="AK20" s="1702">
        <v>35000</v>
      </c>
      <c r="AL20" s="1703">
        <f>'[13]สรุป สภท. รายเดือน'!$C$12</f>
        <v>36525</v>
      </c>
      <c r="AM20" s="2064">
        <f t="shared" si="47"/>
        <v>220898</v>
      </c>
      <c r="AN20" s="1730">
        <f t="shared" si="32"/>
        <v>222423</v>
      </c>
      <c r="AO20" s="1697">
        <f t="shared" si="7"/>
        <v>-1525</v>
      </c>
      <c r="AP20" s="1702">
        <v>38980</v>
      </c>
      <c r="AQ20" s="1703">
        <f>'[13]สรุป สภท. รายเดือน'!$C$13</f>
        <v>5992</v>
      </c>
      <c r="AR20" s="1702">
        <f>9500+50000</f>
        <v>59500</v>
      </c>
      <c r="AS20" s="1703">
        <f>'[13]สรุป สภท. รายเดือน'!$C$14</f>
        <v>960</v>
      </c>
      <c r="AT20" s="1702">
        <v>59500</v>
      </c>
      <c r="AU20" s="1703">
        <f>'[13]สรุป สภท. รายเดือน'!$C$15</f>
        <v>58710</v>
      </c>
      <c r="AV20" s="2064">
        <f t="shared" si="48"/>
        <v>157980</v>
      </c>
      <c r="AW20" s="1730">
        <f t="shared" si="33"/>
        <v>65662</v>
      </c>
      <c r="AX20" s="1697">
        <f t="shared" si="8"/>
        <v>92318</v>
      </c>
      <c r="AY20" s="1830">
        <f t="shared" si="22"/>
        <v>0.2000000000007276</v>
      </c>
      <c r="AZ20" s="2068">
        <f t="shared" si="9"/>
        <v>-1524.7999999999993</v>
      </c>
      <c r="BA20" s="2064">
        <f t="shared" si="34"/>
        <v>436519</v>
      </c>
      <c r="BB20" s="1705">
        <f t="shared" si="54"/>
        <v>345725.8</v>
      </c>
      <c r="BC20" s="1704">
        <f t="shared" si="49"/>
        <v>90793.200000000012</v>
      </c>
      <c r="BD20" s="2219">
        <f t="shared" si="50"/>
        <v>90793.200000000012</v>
      </c>
      <c r="BE20" s="2047">
        <f t="shared" si="11"/>
        <v>0</v>
      </c>
      <c r="BF20" s="2046">
        <f t="shared" si="4"/>
        <v>345725.8</v>
      </c>
      <c r="BG20" s="472"/>
      <c r="BH20" s="2005">
        <f t="shared" si="35"/>
        <v>407499</v>
      </c>
      <c r="BI20" s="1999">
        <f t="shared" si="36"/>
        <v>29020</v>
      </c>
      <c r="BJ20" s="1995">
        <f t="shared" si="37"/>
        <v>436519</v>
      </c>
      <c r="BK20" s="827">
        <f t="shared" si="38"/>
        <v>0</v>
      </c>
      <c r="BL20" s="2002">
        <f t="shared" si="39"/>
        <v>29020</v>
      </c>
      <c r="BM20" s="2008">
        <f t="shared" si="40"/>
        <v>316705.8</v>
      </c>
      <c r="BN20" s="1992">
        <f t="shared" si="51"/>
        <v>345725.8</v>
      </c>
      <c r="BO20" s="2012">
        <f t="shared" si="52"/>
        <v>0</v>
      </c>
      <c r="BP20" s="1995">
        <f t="shared" si="41"/>
        <v>90793.200000000012</v>
      </c>
      <c r="BQ20" s="1992">
        <f t="shared" si="53"/>
        <v>90793.200000000012</v>
      </c>
    </row>
    <row r="21" spans="1:78" s="366" customFormat="1" ht="20.25" customHeight="1" x14ac:dyDescent="0.35">
      <c r="A21" s="1676"/>
      <c r="B21" s="1674" t="s">
        <v>23</v>
      </c>
      <c r="C21" s="1675"/>
      <c r="D21" s="1675"/>
      <c r="E21" s="1856">
        <f t="shared" si="30"/>
        <v>513444</v>
      </c>
      <c r="F21" s="2061">
        <f t="shared" si="55"/>
        <v>247886</v>
      </c>
      <c r="G21" s="1884"/>
      <c r="H21" s="2062">
        <f t="shared" si="14"/>
        <v>247886</v>
      </c>
      <c r="I21" s="1926">
        <f t="shared" si="31"/>
        <v>101125</v>
      </c>
      <c r="J21" s="2062"/>
      <c r="K21" s="2115">
        <f t="shared" si="42"/>
        <v>101125</v>
      </c>
      <c r="L21" s="2116">
        <f t="shared" si="43"/>
        <v>164433</v>
      </c>
      <c r="M21" s="2062"/>
      <c r="N21" s="2115">
        <f t="shared" si="44"/>
        <v>164433</v>
      </c>
      <c r="O21" s="1702">
        <v>53100</v>
      </c>
      <c r="P21" s="1703">
        <f>'[14]สรุป สทส. รายเดือน'!$C$4</f>
        <v>53100</v>
      </c>
      <c r="Q21" s="1702">
        <v>21310</v>
      </c>
      <c r="R21" s="1703">
        <f>'[14]สรุป สทส. รายเดือน'!$C$5</f>
        <v>21310</v>
      </c>
      <c r="S21" s="1702">
        <v>48000</v>
      </c>
      <c r="T21" s="1703">
        <f>'[14]สรุป สทส. รายเดือน'!$C$6</f>
        <v>48000</v>
      </c>
      <c r="U21" s="1726">
        <f t="shared" si="45"/>
        <v>122410</v>
      </c>
      <c r="V21" s="1730">
        <f>SUM(P21+R21+T21)</f>
        <v>122410</v>
      </c>
      <c r="W21" s="1697">
        <f t="shared" si="20"/>
        <v>0</v>
      </c>
      <c r="X21" s="1702">
        <v>39096</v>
      </c>
      <c r="Y21" s="1703">
        <f>'[14]สรุป สทส. รายเดือน'!$C$7</f>
        <v>39095.5</v>
      </c>
      <c r="Z21" s="1702">
        <v>72870</v>
      </c>
      <c r="AA21" s="1703">
        <f>'[14]สรุป สทส. รายเดือน'!$C$8</f>
        <v>72870</v>
      </c>
      <c r="AB21" s="1702">
        <v>13510</v>
      </c>
      <c r="AC21" s="1703">
        <f>'[14]สรุป สทส. รายเดือน'!$C$9</f>
        <v>13510</v>
      </c>
      <c r="AD21" s="2064">
        <f t="shared" si="46"/>
        <v>125476</v>
      </c>
      <c r="AE21" s="1730">
        <f t="shared" si="6"/>
        <v>125475.5</v>
      </c>
      <c r="AF21" s="1697">
        <f t="shared" si="25"/>
        <v>0.5</v>
      </c>
      <c r="AG21" s="1702">
        <v>29900</v>
      </c>
      <c r="AH21" s="1703">
        <f>'[14]สรุป สทส. รายเดือน'!$C$10</f>
        <v>29900</v>
      </c>
      <c r="AI21" s="1702">
        <v>47685</v>
      </c>
      <c r="AJ21" s="1703">
        <f>'[14]สรุป สทส. รายเดือน'!$C$11</f>
        <v>47685.2</v>
      </c>
      <c r="AK21" s="1702">
        <v>23540</v>
      </c>
      <c r="AL21" s="1703">
        <f>'[14]สรุป สทส. รายเดือน'!$C$12</f>
        <v>48740</v>
      </c>
      <c r="AM21" s="2064">
        <f t="shared" si="47"/>
        <v>101125</v>
      </c>
      <c r="AN21" s="1730">
        <f t="shared" si="32"/>
        <v>126325.2</v>
      </c>
      <c r="AO21" s="1697">
        <f t="shared" si="7"/>
        <v>-25200.199999999997</v>
      </c>
      <c r="AP21" s="1702">
        <v>56105</v>
      </c>
      <c r="AQ21" s="1703">
        <f>'[14]สรุป สทส. รายเดือน'!$C$13</f>
        <v>44640</v>
      </c>
      <c r="AR21" s="1702">
        <f>47075+40763</f>
        <v>87838</v>
      </c>
      <c r="AS21" s="1703">
        <f>'[14]สรุป สทส. รายเดือน'!$C$14</f>
        <v>16200</v>
      </c>
      <c r="AT21" s="1702">
        <f>34225-13735</f>
        <v>20490</v>
      </c>
      <c r="AU21" s="1703">
        <f>'[14]สรุป สทส. รายเดือน'!$C$15</f>
        <v>66656.800000000003</v>
      </c>
      <c r="AV21" s="2064">
        <f t="shared" si="48"/>
        <v>164433</v>
      </c>
      <c r="AW21" s="1730">
        <f t="shared" si="33"/>
        <v>127496.8</v>
      </c>
      <c r="AX21" s="1697">
        <f t="shared" si="8"/>
        <v>36936.199999999997</v>
      </c>
      <c r="AY21" s="1830">
        <f t="shared" si="22"/>
        <v>0.5</v>
      </c>
      <c r="AZ21" s="2068">
        <f t="shared" si="9"/>
        <v>-25199.699999999997</v>
      </c>
      <c r="BA21" s="2064">
        <f t="shared" si="34"/>
        <v>513444</v>
      </c>
      <c r="BB21" s="1705">
        <f t="shared" si="54"/>
        <v>501707.5</v>
      </c>
      <c r="BC21" s="1704">
        <f t="shared" si="49"/>
        <v>11736.5</v>
      </c>
      <c r="BD21" s="2219">
        <f t="shared" si="50"/>
        <v>11736.5</v>
      </c>
      <c r="BE21" s="2047">
        <f t="shared" si="11"/>
        <v>0</v>
      </c>
      <c r="BF21" s="2046">
        <f t="shared" si="4"/>
        <v>501707.5</v>
      </c>
      <c r="BG21" s="472"/>
      <c r="BH21" s="2005">
        <f t="shared" si="35"/>
        <v>279068</v>
      </c>
      <c r="BI21" s="1999">
        <f t="shared" si="36"/>
        <v>234376</v>
      </c>
      <c r="BJ21" s="1995">
        <f t="shared" si="37"/>
        <v>513444</v>
      </c>
      <c r="BK21" s="827">
        <f t="shared" si="38"/>
        <v>0</v>
      </c>
      <c r="BL21" s="2002">
        <f t="shared" si="39"/>
        <v>234375.5</v>
      </c>
      <c r="BM21" s="2008">
        <f t="shared" si="40"/>
        <v>267332</v>
      </c>
      <c r="BN21" s="1992">
        <f t="shared" si="51"/>
        <v>501707.5</v>
      </c>
      <c r="BO21" s="2012">
        <f t="shared" si="52"/>
        <v>0.5</v>
      </c>
      <c r="BP21" s="1995">
        <f t="shared" si="41"/>
        <v>11736</v>
      </c>
      <c r="BQ21" s="1992">
        <f t="shared" si="53"/>
        <v>11736.5</v>
      </c>
    </row>
    <row r="22" spans="1:78" s="366" customFormat="1" ht="20.25" customHeight="1" x14ac:dyDescent="0.35">
      <c r="A22" s="1676"/>
      <c r="B22" s="1674" t="s">
        <v>4</v>
      </c>
      <c r="C22" s="1675"/>
      <c r="D22" s="1675"/>
      <c r="E22" s="1856">
        <f t="shared" si="30"/>
        <v>97315</v>
      </c>
      <c r="F22" s="2061">
        <f t="shared" si="55"/>
        <v>27155</v>
      </c>
      <c r="G22" s="1884"/>
      <c r="H22" s="2062">
        <f t="shared" si="14"/>
        <v>27155</v>
      </c>
      <c r="I22" s="1926">
        <f t="shared" si="31"/>
        <v>42560</v>
      </c>
      <c r="J22" s="2062"/>
      <c r="K22" s="2115">
        <f t="shared" si="42"/>
        <v>42560</v>
      </c>
      <c r="L22" s="2116">
        <f t="shared" si="43"/>
        <v>27600</v>
      </c>
      <c r="M22" s="2062"/>
      <c r="N22" s="2115">
        <f t="shared" si="44"/>
        <v>27600</v>
      </c>
      <c r="O22" s="1702">
        <v>0</v>
      </c>
      <c r="P22" s="1703">
        <f>'[15]สรุป สกก.รายเดือน'!$C$4</f>
        <v>0</v>
      </c>
      <c r="Q22" s="1702">
        <v>560</v>
      </c>
      <c r="R22" s="1703">
        <f>'[15]สรุป สกก.รายเดือน'!$C$5</f>
        <v>560</v>
      </c>
      <c r="S22" s="1702">
        <v>500</v>
      </c>
      <c r="T22" s="1703">
        <f>'[15]สรุป สกก.รายเดือน'!$C$6</f>
        <v>500</v>
      </c>
      <c r="U22" s="1726">
        <f t="shared" si="45"/>
        <v>1060</v>
      </c>
      <c r="V22" s="1730">
        <f t="shared" si="19"/>
        <v>1060</v>
      </c>
      <c r="W22" s="1697">
        <f t="shared" si="20"/>
        <v>0</v>
      </c>
      <c r="X22" s="1702">
        <v>0</v>
      </c>
      <c r="Y22" s="1703">
        <f>'[15]สรุป สกก.รายเดือน'!$C$7</f>
        <v>0</v>
      </c>
      <c r="Z22" s="1702">
        <v>25500</v>
      </c>
      <c r="AA22" s="1703">
        <f>'[15]สรุป สกก.รายเดือน'!$C$8</f>
        <v>25500</v>
      </c>
      <c r="AB22" s="1702">
        <v>595</v>
      </c>
      <c r="AC22" s="1703">
        <f>'[15]สรุป สกก.รายเดือน'!$C$9</f>
        <v>595</v>
      </c>
      <c r="AD22" s="2064">
        <f t="shared" si="46"/>
        <v>26095</v>
      </c>
      <c r="AE22" s="1730">
        <f t="shared" si="6"/>
        <v>26095</v>
      </c>
      <c r="AF22" s="1697">
        <f t="shared" si="25"/>
        <v>0</v>
      </c>
      <c r="AG22" s="1702">
        <v>1926</v>
      </c>
      <c r="AH22" s="1703">
        <f>'[15]สรุป สกก.รายเดือน'!$C$10</f>
        <v>1926</v>
      </c>
      <c r="AI22" s="1702">
        <v>34874</v>
      </c>
      <c r="AJ22" s="1703">
        <f>'[15]สรุป สกก.รายเดือน'!$C$11</f>
        <v>34874</v>
      </c>
      <c r="AK22" s="1702">
        <v>5760</v>
      </c>
      <c r="AL22" s="1703">
        <f>'[15]สรุป สกก.รายเดือน'!$C$12</f>
        <v>0</v>
      </c>
      <c r="AM22" s="2064">
        <f t="shared" si="47"/>
        <v>42560</v>
      </c>
      <c r="AN22" s="1730">
        <f t="shared" si="32"/>
        <v>36800</v>
      </c>
      <c r="AO22" s="1697">
        <f t="shared" si="7"/>
        <v>5760</v>
      </c>
      <c r="AP22" s="1702">
        <f>[20]สกก!$K$157</f>
        <v>0</v>
      </c>
      <c r="AQ22" s="1703">
        <f>'[15]สรุป สกก.รายเดือน'!$C$13</f>
        <v>4805</v>
      </c>
      <c r="AR22" s="1702">
        <f>9600+15000</f>
        <v>24600</v>
      </c>
      <c r="AS22" s="1703">
        <f>'[15]สรุป สกก.รายเดือน'!$C$14</f>
        <v>19795</v>
      </c>
      <c r="AT22" s="1702">
        <v>3000</v>
      </c>
      <c r="AU22" s="1703">
        <f>'[15]สรุป สกก.รายเดือน'!$C$15</f>
        <v>9600</v>
      </c>
      <c r="AV22" s="2064">
        <f t="shared" si="48"/>
        <v>27600</v>
      </c>
      <c r="AW22" s="1730">
        <f t="shared" si="33"/>
        <v>34200</v>
      </c>
      <c r="AX22" s="1697">
        <f t="shared" si="8"/>
        <v>-6600</v>
      </c>
      <c r="AY22" s="1830">
        <f t="shared" si="22"/>
        <v>0</v>
      </c>
      <c r="AZ22" s="2068">
        <f t="shared" si="9"/>
        <v>5760</v>
      </c>
      <c r="BA22" s="2064">
        <f t="shared" si="34"/>
        <v>97315</v>
      </c>
      <c r="BB22" s="1705">
        <f t="shared" si="54"/>
        <v>98155</v>
      </c>
      <c r="BC22" s="1704">
        <f t="shared" si="49"/>
        <v>-840</v>
      </c>
      <c r="BD22" s="2219">
        <f t="shared" si="50"/>
        <v>-840</v>
      </c>
      <c r="BE22" s="2047">
        <f t="shared" si="11"/>
        <v>0</v>
      </c>
      <c r="BF22" s="2046">
        <f t="shared" si="4"/>
        <v>98155</v>
      </c>
      <c r="BG22" s="472"/>
      <c r="BH22" s="2005">
        <f t="shared" si="35"/>
        <v>70755</v>
      </c>
      <c r="BI22" s="1999">
        <f t="shared" si="36"/>
        <v>26560</v>
      </c>
      <c r="BJ22" s="1995">
        <f t="shared" si="37"/>
        <v>97315</v>
      </c>
      <c r="BK22" s="827">
        <f t="shared" si="38"/>
        <v>0</v>
      </c>
      <c r="BL22" s="2002">
        <f t="shared" si="39"/>
        <v>26560</v>
      </c>
      <c r="BM22" s="2008">
        <f t="shared" si="40"/>
        <v>71595</v>
      </c>
      <c r="BN22" s="1992">
        <f t="shared" si="51"/>
        <v>98155</v>
      </c>
      <c r="BO22" s="2012">
        <f t="shared" si="52"/>
        <v>0</v>
      </c>
      <c r="BP22" s="1995">
        <f t="shared" si="41"/>
        <v>-840</v>
      </c>
      <c r="BQ22" s="1992">
        <f t="shared" si="53"/>
        <v>-840</v>
      </c>
    </row>
    <row r="23" spans="1:78" s="366" customFormat="1" ht="20.25" customHeight="1" x14ac:dyDescent="0.35">
      <c r="A23" s="1676"/>
      <c r="B23" s="1674" t="s">
        <v>20</v>
      </c>
      <c r="C23" s="1675"/>
      <c r="D23" s="1675"/>
      <c r="E23" s="1856">
        <f t="shared" si="30"/>
        <v>456631</v>
      </c>
      <c r="F23" s="2061">
        <f>U23+AD23</f>
        <v>247747</v>
      </c>
      <c r="G23" s="1884"/>
      <c r="H23" s="2062">
        <f t="shared" si="14"/>
        <v>247747</v>
      </c>
      <c r="I23" s="1926">
        <f t="shared" si="31"/>
        <v>133060</v>
      </c>
      <c r="J23" s="2062"/>
      <c r="K23" s="2115">
        <f t="shared" si="42"/>
        <v>133060</v>
      </c>
      <c r="L23" s="2116">
        <f t="shared" si="43"/>
        <v>75824</v>
      </c>
      <c r="M23" s="2062"/>
      <c r="N23" s="2115">
        <f t="shared" si="44"/>
        <v>75824</v>
      </c>
      <c r="O23" s="1702">
        <v>32285</v>
      </c>
      <c r="P23" s="1703">
        <f>'[16]สรุป สปร. รายเดือน'!$C$4</f>
        <v>32285.200000000001</v>
      </c>
      <c r="Q23" s="1702">
        <v>1550</v>
      </c>
      <c r="R23" s="1703">
        <f>'[16]สรุป สปร. รายเดือน'!$C$5</f>
        <v>1550</v>
      </c>
      <c r="S23" s="1702">
        <v>29350</v>
      </c>
      <c r="T23" s="1703">
        <f>'[16]สรุป สปร. รายเดือน'!$C$6</f>
        <v>29350</v>
      </c>
      <c r="U23" s="1726">
        <f t="shared" si="45"/>
        <v>63185</v>
      </c>
      <c r="V23" s="1730">
        <f t="shared" si="19"/>
        <v>63185.2</v>
      </c>
      <c r="W23" s="1697">
        <f t="shared" si="20"/>
        <v>-0.19999999999708962</v>
      </c>
      <c r="X23" s="1702">
        <v>42808</v>
      </c>
      <c r="Y23" s="1703">
        <f>'[16]สรุป สปร. รายเดือน'!$C$7</f>
        <v>42808</v>
      </c>
      <c r="Z23" s="1702">
        <v>57600</v>
      </c>
      <c r="AA23" s="1703">
        <f>'[16]สรุป สปร. รายเดือน'!$C$8</f>
        <v>57600</v>
      </c>
      <c r="AB23" s="1702">
        <v>84154</v>
      </c>
      <c r="AC23" s="1703">
        <f>'[16]สรุป สปร. รายเดือน'!$C$9</f>
        <v>84154</v>
      </c>
      <c r="AD23" s="2064">
        <f t="shared" si="46"/>
        <v>184562</v>
      </c>
      <c r="AE23" s="1730">
        <f>SUM(Y23+AA23+AC23)</f>
        <v>184562</v>
      </c>
      <c r="AF23" s="1697">
        <f t="shared" si="25"/>
        <v>0</v>
      </c>
      <c r="AG23" s="1702">
        <v>9450</v>
      </c>
      <c r="AH23" s="1703">
        <f>'[16]สรุป สปร. รายเดือน'!$C$10</f>
        <v>9450</v>
      </c>
      <c r="AI23" s="1702">
        <v>68410</v>
      </c>
      <c r="AJ23" s="1703">
        <f>'[16]สรุป สปร. รายเดือน'!$C$11</f>
        <v>68410</v>
      </c>
      <c r="AK23" s="1702">
        <v>55200</v>
      </c>
      <c r="AL23" s="1703">
        <f>'[16]สรุป สปร. รายเดือน'!$C$12</f>
        <v>66640</v>
      </c>
      <c r="AM23" s="2064">
        <f t="shared" si="47"/>
        <v>133060</v>
      </c>
      <c r="AN23" s="1730">
        <f t="shared" si="32"/>
        <v>144500</v>
      </c>
      <c r="AO23" s="1697">
        <f t="shared" si="7"/>
        <v>-11440</v>
      </c>
      <c r="AP23" s="1702">
        <v>8100</v>
      </c>
      <c r="AQ23" s="1703">
        <f>'[16]สรุป สปร. รายเดือน'!$C$13</f>
        <v>5100</v>
      </c>
      <c r="AR23" s="1702">
        <f>48800+21764-8440</f>
        <v>62124</v>
      </c>
      <c r="AS23" s="1703">
        <f>'[16]สรุป สปร. รายเดือน'!$C$14</f>
        <v>66300</v>
      </c>
      <c r="AT23" s="1702">
        <v>5600</v>
      </c>
      <c r="AU23" s="1703">
        <f>'[16]สรุป สปร. รายเดือน'!$C$15</f>
        <v>7250</v>
      </c>
      <c r="AV23" s="2064">
        <f t="shared" si="48"/>
        <v>75824</v>
      </c>
      <c r="AW23" s="1730">
        <f t="shared" si="33"/>
        <v>78650</v>
      </c>
      <c r="AX23" s="1697">
        <f t="shared" si="8"/>
        <v>-2826</v>
      </c>
      <c r="AY23" s="1830">
        <f t="shared" si="22"/>
        <v>-0.20000000001164153</v>
      </c>
      <c r="AZ23" s="2068">
        <f t="shared" si="9"/>
        <v>-11440.200000000012</v>
      </c>
      <c r="BA23" s="2064">
        <f t="shared" si="34"/>
        <v>456631</v>
      </c>
      <c r="BB23" s="1705">
        <f t="shared" si="54"/>
        <v>470897.2</v>
      </c>
      <c r="BC23" s="1704">
        <f t="shared" si="49"/>
        <v>-14266.200000000012</v>
      </c>
      <c r="BD23" s="2219">
        <f t="shared" si="50"/>
        <v>-14266.200000000012</v>
      </c>
      <c r="BE23" s="2047">
        <f t="shared" si="11"/>
        <v>0</v>
      </c>
      <c r="BF23" s="2046">
        <f t="shared" si="4"/>
        <v>470897.2</v>
      </c>
      <c r="BG23" s="472"/>
      <c r="BH23" s="2005">
        <f t="shared" si="35"/>
        <v>293038</v>
      </c>
      <c r="BI23" s="1999">
        <f t="shared" si="36"/>
        <v>163593</v>
      </c>
      <c r="BJ23" s="1995">
        <f t="shared" si="37"/>
        <v>456631</v>
      </c>
      <c r="BK23" s="827">
        <f t="shared" si="38"/>
        <v>0</v>
      </c>
      <c r="BL23" s="2002">
        <f t="shared" si="39"/>
        <v>163593.20000000001</v>
      </c>
      <c r="BM23" s="2008">
        <f t="shared" si="40"/>
        <v>307304</v>
      </c>
      <c r="BN23" s="1992">
        <f t="shared" si="51"/>
        <v>470897.2</v>
      </c>
      <c r="BO23" s="2012">
        <f t="shared" si="52"/>
        <v>-0.20000000001164153</v>
      </c>
      <c r="BP23" s="1995">
        <f t="shared" si="41"/>
        <v>-14266</v>
      </c>
      <c r="BQ23" s="1992">
        <f t="shared" si="53"/>
        <v>-14266.200000000012</v>
      </c>
    </row>
    <row r="24" spans="1:78" s="366" customFormat="1" ht="20.25" customHeight="1" x14ac:dyDescent="0.35">
      <c r="A24" s="1676"/>
      <c r="B24" s="1679" t="s">
        <v>5</v>
      </c>
      <c r="C24" s="1680"/>
      <c r="D24" s="1680"/>
      <c r="E24" s="1856">
        <f t="shared" si="30"/>
        <v>162388</v>
      </c>
      <c r="F24" s="2061">
        <f t="shared" si="55"/>
        <v>48047</v>
      </c>
      <c r="G24" s="1884"/>
      <c r="H24" s="2062">
        <f t="shared" si="14"/>
        <v>48047</v>
      </c>
      <c r="I24" s="1926">
        <f t="shared" si="31"/>
        <v>50910</v>
      </c>
      <c r="J24" s="2062"/>
      <c r="K24" s="2115">
        <f t="shared" si="42"/>
        <v>50910</v>
      </c>
      <c r="L24" s="2116">
        <f t="shared" si="43"/>
        <v>63431</v>
      </c>
      <c r="M24" s="2062"/>
      <c r="N24" s="2115">
        <f t="shared" si="44"/>
        <v>63431</v>
      </c>
      <c r="O24" s="1702">
        <v>308</v>
      </c>
      <c r="P24" s="1703">
        <f>'[17]สรุป สพก.รายเดือน'!$C$4</f>
        <v>308</v>
      </c>
      <c r="Q24" s="1702">
        <v>21734</v>
      </c>
      <c r="R24" s="1703">
        <f>'[17]สรุป สพก.รายเดือน'!$C$5</f>
        <v>21733.5</v>
      </c>
      <c r="S24" s="1702">
        <v>21965</v>
      </c>
      <c r="T24" s="1703">
        <f>'[17]สรุป สพก.รายเดือน'!$C$6</f>
        <v>21965</v>
      </c>
      <c r="U24" s="1726">
        <f t="shared" si="45"/>
        <v>44007</v>
      </c>
      <c r="V24" s="1730">
        <f t="shared" si="19"/>
        <v>44006.5</v>
      </c>
      <c r="W24" s="1697">
        <f t="shared" si="20"/>
        <v>0.5</v>
      </c>
      <c r="X24" s="1702">
        <v>1290</v>
      </c>
      <c r="Y24" s="1703">
        <f>'[17]สรุป สพก.รายเดือน'!$C$7</f>
        <v>1290</v>
      </c>
      <c r="Z24" s="1702">
        <v>2750</v>
      </c>
      <c r="AA24" s="1703">
        <f>'[17]สรุป สพก.รายเดือน'!$C$8</f>
        <v>2750</v>
      </c>
      <c r="AB24" s="1702">
        <v>0</v>
      </c>
      <c r="AC24" s="1703">
        <f>'[17]สรุป สพก.รายเดือน'!$C$9</f>
        <v>0</v>
      </c>
      <c r="AD24" s="2064">
        <f t="shared" si="46"/>
        <v>4040</v>
      </c>
      <c r="AE24" s="1730">
        <f t="shared" si="6"/>
        <v>4040</v>
      </c>
      <c r="AF24" s="1697">
        <f t="shared" si="25"/>
        <v>0</v>
      </c>
      <c r="AG24" s="1702">
        <v>15162</v>
      </c>
      <c r="AH24" s="1703">
        <f>'[17]สรุป สพก.รายเดือน'!$C$10</f>
        <v>15162.3</v>
      </c>
      <c r="AI24" s="1702">
        <v>33148</v>
      </c>
      <c r="AJ24" s="1703">
        <f>'[17]สรุป สพก.รายเดือน'!$C$11</f>
        <v>33147.5</v>
      </c>
      <c r="AK24" s="1702">
        <v>2600</v>
      </c>
      <c r="AL24" s="1703">
        <f>'[17]สรุป สพก.รายเดือน'!$C$12</f>
        <v>0</v>
      </c>
      <c r="AM24" s="2064">
        <f t="shared" si="47"/>
        <v>50910</v>
      </c>
      <c r="AN24" s="1730">
        <f t="shared" si="32"/>
        <v>48309.8</v>
      </c>
      <c r="AO24" s="1697">
        <f t="shared" si="7"/>
        <v>2600.1999999999971</v>
      </c>
      <c r="AP24" s="1702">
        <v>1900</v>
      </c>
      <c r="AQ24" s="1703">
        <f>'[17]สรุป สพก.รายเดือน'!$C$13</f>
        <v>0</v>
      </c>
      <c r="AR24" s="1702">
        <f>30500+21031</f>
        <v>51531</v>
      </c>
      <c r="AS24" s="1703">
        <f>'[17]สรุป สพก.รายเดือน'!$C$14</f>
        <v>58796.5</v>
      </c>
      <c r="AT24" s="1702">
        <v>10000</v>
      </c>
      <c r="AU24" s="1703">
        <f>'[17]สรุป สพก.รายเดือน'!$C$15</f>
        <v>10425</v>
      </c>
      <c r="AV24" s="2064">
        <f t="shared" si="48"/>
        <v>63431</v>
      </c>
      <c r="AW24" s="1730">
        <f t="shared" si="33"/>
        <v>69221.5</v>
      </c>
      <c r="AX24" s="1697">
        <f t="shared" si="8"/>
        <v>-5790.5</v>
      </c>
      <c r="AY24" s="1830">
        <f t="shared" si="22"/>
        <v>0.5</v>
      </c>
      <c r="AZ24" s="2068">
        <f t="shared" si="9"/>
        <v>2600.6999999999971</v>
      </c>
      <c r="BA24" s="2064">
        <f t="shared" si="34"/>
        <v>162388</v>
      </c>
      <c r="BB24" s="1705">
        <f t="shared" si="54"/>
        <v>165577.79999999999</v>
      </c>
      <c r="BC24" s="1704">
        <f t="shared" si="49"/>
        <v>-3189.7999999999884</v>
      </c>
      <c r="BD24" s="2219">
        <f t="shared" si="50"/>
        <v>-3189.7999999999884</v>
      </c>
      <c r="BE24" s="2047">
        <f t="shared" si="11"/>
        <v>0</v>
      </c>
      <c r="BF24" s="2046">
        <f t="shared" si="4"/>
        <v>165577.79999999999</v>
      </c>
      <c r="BG24" s="472"/>
      <c r="BH24" s="2005">
        <f t="shared" si="35"/>
        <v>114341</v>
      </c>
      <c r="BI24" s="1999">
        <f t="shared" si="36"/>
        <v>48047</v>
      </c>
      <c r="BJ24" s="1995">
        <f t="shared" si="37"/>
        <v>162388</v>
      </c>
      <c r="BK24" s="827">
        <f t="shared" si="38"/>
        <v>0</v>
      </c>
      <c r="BL24" s="2002">
        <f t="shared" si="39"/>
        <v>48046.5</v>
      </c>
      <c r="BM24" s="2008">
        <f t="shared" si="40"/>
        <v>117531.3</v>
      </c>
      <c r="BN24" s="1992">
        <f t="shared" si="51"/>
        <v>165577.79999999999</v>
      </c>
      <c r="BO24" s="2012">
        <f t="shared" si="52"/>
        <v>0.5</v>
      </c>
      <c r="BP24" s="1995">
        <f t="shared" si="41"/>
        <v>-3190.3000000000029</v>
      </c>
      <c r="BQ24" s="1992">
        <f t="shared" si="53"/>
        <v>-3189.8000000000029</v>
      </c>
    </row>
    <row r="25" spans="1:78" s="366" customFormat="1" ht="20.25" customHeight="1" x14ac:dyDescent="0.35">
      <c r="A25" s="1676"/>
      <c r="B25" s="1674" t="s">
        <v>21</v>
      </c>
      <c r="C25" s="1675"/>
      <c r="D25" s="1675"/>
      <c r="E25" s="1856">
        <f>F25+I25+L25</f>
        <v>238603</v>
      </c>
      <c r="F25" s="2061">
        <f t="shared" si="55"/>
        <v>180408</v>
      </c>
      <c r="G25" s="1884"/>
      <c r="H25" s="2062">
        <f t="shared" si="14"/>
        <v>180408</v>
      </c>
      <c r="I25" s="1926">
        <f t="shared" si="31"/>
        <v>52945</v>
      </c>
      <c r="J25" s="2062"/>
      <c r="K25" s="2115">
        <f t="shared" si="42"/>
        <v>52945</v>
      </c>
      <c r="L25" s="2116">
        <f t="shared" si="43"/>
        <v>5250</v>
      </c>
      <c r="M25" s="2062"/>
      <c r="N25" s="2115">
        <f t="shared" si="44"/>
        <v>5250</v>
      </c>
      <c r="O25" s="1702">
        <v>0</v>
      </c>
      <c r="P25" s="1703">
        <f>'[18]สรุป สปข.รายเดือน'!$C$4</f>
        <v>0</v>
      </c>
      <c r="Q25" s="1702">
        <v>0</v>
      </c>
      <c r="R25" s="1703">
        <f>'[18]สรุป สปข.รายเดือน'!$C$5</f>
        <v>0</v>
      </c>
      <c r="S25" s="1702">
        <v>4243</v>
      </c>
      <c r="T25" s="1703">
        <f>'[18]สรุป สปข.รายเดือน'!$C$6</f>
        <v>4243.07</v>
      </c>
      <c r="U25" s="1726">
        <f t="shared" si="45"/>
        <v>4243</v>
      </c>
      <c r="V25" s="1730">
        <f t="shared" si="19"/>
        <v>4243.07</v>
      </c>
      <c r="W25" s="1697">
        <f t="shared" si="20"/>
        <v>-6.9999999999708962E-2</v>
      </c>
      <c r="X25" s="1702">
        <v>0</v>
      </c>
      <c r="Y25" s="1703">
        <f>'[18]สรุป สปข.รายเดือน'!$C$7</f>
        <v>0</v>
      </c>
      <c r="Z25" s="1702">
        <v>700</v>
      </c>
      <c r="AA25" s="1703">
        <f>'[18]สรุป สปข.รายเดือน'!$C$8</f>
        <v>700</v>
      </c>
      <c r="AB25" s="1702">
        <v>175465</v>
      </c>
      <c r="AC25" s="1703">
        <f>'[18]สรุป สปข.รายเดือน'!$C$9</f>
        <v>175465</v>
      </c>
      <c r="AD25" s="2064">
        <f t="shared" si="46"/>
        <v>176165</v>
      </c>
      <c r="AE25" s="1730">
        <f t="shared" si="6"/>
        <v>176165</v>
      </c>
      <c r="AF25" s="1697">
        <f t="shared" si="25"/>
        <v>0</v>
      </c>
      <c r="AG25" s="1702">
        <v>18735</v>
      </c>
      <c r="AH25" s="1703">
        <f>'[18]สรุป สปข.รายเดือน'!$C$10</f>
        <v>18735</v>
      </c>
      <c r="AI25" s="1702">
        <v>33460</v>
      </c>
      <c r="AJ25" s="1703">
        <f>'[18]สรุป สปข.รายเดือน'!$C$11</f>
        <v>33459.5</v>
      </c>
      <c r="AK25" s="1702">
        <v>750</v>
      </c>
      <c r="AL25" s="1703">
        <f>'[18]สรุป สปข.รายเดือน'!$C$12</f>
        <v>2030</v>
      </c>
      <c r="AM25" s="2064">
        <f t="shared" si="47"/>
        <v>52945</v>
      </c>
      <c r="AN25" s="1730">
        <f t="shared" si="32"/>
        <v>54224.5</v>
      </c>
      <c r="AO25" s="1697">
        <f t="shared" si="7"/>
        <v>-1279.5</v>
      </c>
      <c r="AP25" s="1702">
        <f>750+1000</f>
        <v>1750</v>
      </c>
      <c r="AQ25" s="1703">
        <f>'[18]สรุป สปข.รายเดือน'!$C$13</f>
        <v>735</v>
      </c>
      <c r="AR25" s="1702">
        <f>750+1000</f>
        <v>1750</v>
      </c>
      <c r="AS25" s="1703">
        <f>'[18]สรุป สปข.รายเดือน'!$C$14</f>
        <v>3430</v>
      </c>
      <c r="AT25" s="1702">
        <f>750+1000</f>
        <v>1750</v>
      </c>
      <c r="AU25" s="1703">
        <f>'[18]สรุป สปข.รายเดือน'!$C$15</f>
        <v>0</v>
      </c>
      <c r="AV25" s="2064">
        <f t="shared" si="48"/>
        <v>5250</v>
      </c>
      <c r="AW25" s="1730">
        <f t="shared" si="33"/>
        <v>4165</v>
      </c>
      <c r="AX25" s="1697">
        <f t="shared" si="8"/>
        <v>1085</v>
      </c>
      <c r="AY25" s="1830">
        <f t="shared" si="22"/>
        <v>-7.0000000006984919E-2</v>
      </c>
      <c r="AZ25" s="2068">
        <f t="shared" si="9"/>
        <v>-1279.570000000007</v>
      </c>
      <c r="BA25" s="2064">
        <f t="shared" si="34"/>
        <v>238603</v>
      </c>
      <c r="BB25" s="1705">
        <f t="shared" si="54"/>
        <v>238797.57</v>
      </c>
      <c r="BC25" s="1704">
        <f t="shared" si="49"/>
        <v>-194.57000000000698</v>
      </c>
      <c r="BD25" s="2219">
        <f t="shared" si="50"/>
        <v>-194.57000000000698</v>
      </c>
      <c r="BE25" s="2047">
        <f t="shared" si="11"/>
        <v>0</v>
      </c>
      <c r="BF25" s="2046">
        <f t="shared" si="4"/>
        <v>238797.57</v>
      </c>
      <c r="BG25" s="472"/>
      <c r="BH25" s="2005">
        <f t="shared" si="35"/>
        <v>233660</v>
      </c>
      <c r="BI25" s="1999">
        <f t="shared" si="36"/>
        <v>4943</v>
      </c>
      <c r="BJ25" s="1995">
        <f t="shared" si="37"/>
        <v>238603</v>
      </c>
      <c r="BK25" s="827">
        <f t="shared" si="38"/>
        <v>0</v>
      </c>
      <c r="BL25" s="2002">
        <f t="shared" si="39"/>
        <v>4943.07</v>
      </c>
      <c r="BM25" s="2008">
        <f t="shared" si="40"/>
        <v>233854.5</v>
      </c>
      <c r="BN25" s="1992">
        <f t="shared" si="51"/>
        <v>238797.57</v>
      </c>
      <c r="BO25" s="2012">
        <f t="shared" si="52"/>
        <v>-6.9999999999708962E-2</v>
      </c>
      <c r="BP25" s="1995">
        <f t="shared" si="41"/>
        <v>-194.5</v>
      </c>
      <c r="BQ25" s="1992">
        <f t="shared" si="53"/>
        <v>-194.57000000000698</v>
      </c>
    </row>
    <row r="26" spans="1:78" s="1618" customFormat="1" ht="26.25" customHeight="1" x14ac:dyDescent="0.35">
      <c r="A26" s="1784" t="s">
        <v>628</v>
      </c>
      <c r="B26" s="1827"/>
      <c r="C26" s="1827"/>
      <c r="D26" s="1827"/>
      <c r="E26" s="2117">
        <f>E33+E34+E35+E28</f>
        <v>36735400</v>
      </c>
      <c r="F26" s="2118">
        <f>F33+F34+F35+F28</f>
        <v>36735400</v>
      </c>
      <c r="G26" s="2119"/>
      <c r="H26" s="2120">
        <f t="shared" si="14"/>
        <v>36735400</v>
      </c>
      <c r="I26" s="2121"/>
      <c r="J26" s="2120"/>
      <c r="K26" s="2120"/>
      <c r="L26" s="2122"/>
      <c r="M26" s="2120"/>
      <c r="N26" s="2120"/>
      <c r="O26" s="2120">
        <f>SUM(O33:O37)</f>
        <v>0</v>
      </c>
      <c r="P26" s="2120">
        <f>P28+P33+P34+P36+P37</f>
        <v>15900</v>
      </c>
      <c r="Q26" s="2120">
        <f t="shared" ref="Q26:AX26" si="56">Q28+Q33+Q34+Q36+Q37</f>
        <v>0</v>
      </c>
      <c r="R26" s="2120">
        <f t="shared" si="56"/>
        <v>385179.4</v>
      </c>
      <c r="S26" s="2120">
        <f t="shared" si="56"/>
        <v>585900</v>
      </c>
      <c r="T26" s="2120">
        <f t="shared" si="56"/>
        <v>0</v>
      </c>
      <c r="U26" s="2120">
        <f>U28+U33+U34+U36+U37</f>
        <v>1002400</v>
      </c>
      <c r="V26" s="2120">
        <f t="shared" si="56"/>
        <v>401079.4</v>
      </c>
      <c r="W26" s="2120">
        <f t="shared" si="56"/>
        <v>601320.6</v>
      </c>
      <c r="X26" s="2120">
        <f t="shared" si="56"/>
        <v>0</v>
      </c>
      <c r="Y26" s="2120">
        <f t="shared" si="56"/>
        <v>0</v>
      </c>
      <c r="Z26" s="2120">
        <f t="shared" si="56"/>
        <v>1520000</v>
      </c>
      <c r="AA26" s="2120">
        <f t="shared" si="56"/>
        <v>0</v>
      </c>
      <c r="AB26" s="2120">
        <f t="shared" si="56"/>
        <v>21775740</v>
      </c>
      <c r="AC26" s="2120">
        <f t="shared" si="56"/>
        <v>2053200</v>
      </c>
      <c r="AD26" s="2123">
        <f t="shared" si="56"/>
        <v>23295740</v>
      </c>
      <c r="AE26" s="2124">
        <f t="shared" si="56"/>
        <v>2053200</v>
      </c>
      <c r="AF26" s="2120">
        <f t="shared" si="56"/>
        <v>21242540</v>
      </c>
      <c r="AG26" s="2120">
        <f t="shared" si="56"/>
        <v>0</v>
      </c>
      <c r="AH26" s="2120">
        <f t="shared" si="56"/>
        <v>8897200</v>
      </c>
      <c r="AI26" s="2120">
        <f t="shared" si="56"/>
        <v>490000</v>
      </c>
      <c r="AJ26" s="2120">
        <f t="shared" si="56"/>
        <v>446722.2</v>
      </c>
      <c r="AK26" s="2120">
        <f t="shared" si="56"/>
        <v>10189560</v>
      </c>
      <c r="AL26" s="2120">
        <f t="shared" si="56"/>
        <v>0</v>
      </c>
      <c r="AM26" s="2123">
        <f t="shared" si="56"/>
        <v>10679560</v>
      </c>
      <c r="AN26" s="2124">
        <f t="shared" si="56"/>
        <v>9343922.1999999993</v>
      </c>
      <c r="AO26" s="2120">
        <f t="shared" si="56"/>
        <v>1335637.8</v>
      </c>
      <c r="AP26" s="1897">
        <f t="shared" si="56"/>
        <v>0</v>
      </c>
      <c r="AQ26" s="1897">
        <f t="shared" si="56"/>
        <v>3138044.4</v>
      </c>
      <c r="AR26" s="1897">
        <f t="shared" si="56"/>
        <v>0</v>
      </c>
      <c r="AS26" s="1897">
        <f t="shared" si="56"/>
        <v>10788565</v>
      </c>
      <c r="AT26" s="1897">
        <f t="shared" si="56"/>
        <v>1757700</v>
      </c>
      <c r="AU26" s="1897">
        <f t="shared" si="56"/>
        <v>800888.8</v>
      </c>
      <c r="AV26" s="1898">
        <f t="shared" si="56"/>
        <v>1757700</v>
      </c>
      <c r="AW26" s="1899">
        <f t="shared" si="56"/>
        <v>14727498.199999999</v>
      </c>
      <c r="AX26" s="1897">
        <f t="shared" si="56"/>
        <v>-12969798.199999999</v>
      </c>
      <c r="AY26" s="1910">
        <f t="shared" si="22"/>
        <v>34281120.600000001</v>
      </c>
      <c r="AZ26" s="2034">
        <f t="shared" si="9"/>
        <v>24937198.400000002</v>
      </c>
      <c r="BA26" s="1898">
        <f>U26+AD26+AM26+AV26</f>
        <v>36735400</v>
      </c>
      <c r="BB26" s="1897">
        <f t="shared" si="54"/>
        <v>26525699.799999997</v>
      </c>
      <c r="BC26" s="1897">
        <f>E26-V26-AE26-AN26-AW26</f>
        <v>10209700.200000003</v>
      </c>
      <c r="BD26" s="2048"/>
      <c r="BE26" s="2047"/>
      <c r="BF26" s="2046">
        <f t="shared" si="4"/>
        <v>26525699.799999997</v>
      </c>
      <c r="BG26" s="1764"/>
      <c r="BH26" s="2006">
        <f>SUM(BH16:BH25)</f>
        <v>2074097</v>
      </c>
      <c r="BI26" s="2000">
        <f>SUM(BI16:BI25)</f>
        <v>656285</v>
      </c>
      <c r="BJ26" s="1996">
        <f t="shared" si="37"/>
        <v>2730382</v>
      </c>
      <c r="BK26" s="1997">
        <f>SUM(BK16:BK25)</f>
        <v>0</v>
      </c>
      <c r="BL26" s="2003" t="e">
        <f>SUM(BL16:BL25)</f>
        <v>#REF!</v>
      </c>
      <c r="BM26" s="2009" t="e">
        <f>SUM(BM16:BM25)</f>
        <v>#REF!</v>
      </c>
      <c r="BN26" s="1994" t="e">
        <f>SUM(BN16:BN25)</f>
        <v>#REF!</v>
      </c>
      <c r="BO26" s="2013" t="e">
        <f t="shared" si="52"/>
        <v>#REF!</v>
      </c>
      <c r="BP26" s="1996" t="e">
        <f t="shared" si="41"/>
        <v>#REF!</v>
      </c>
      <c r="BQ26" s="1994" t="e">
        <f>SUM(BQ16:BQ25)</f>
        <v>#REF!</v>
      </c>
      <c r="BR26" s="1817"/>
      <c r="BS26" s="1817"/>
      <c r="BT26" s="1817"/>
      <c r="BU26" s="1817"/>
      <c r="BV26" s="1817"/>
      <c r="BW26" s="1817"/>
      <c r="BX26" s="1817"/>
      <c r="BY26" s="1817"/>
      <c r="BZ26" s="1817"/>
    </row>
    <row r="27" spans="1:78" ht="20.25" customHeight="1" x14ac:dyDescent="0.35">
      <c r="A27" s="3350" t="s">
        <v>629</v>
      </c>
      <c r="B27" s="3351"/>
      <c r="C27" s="3351"/>
      <c r="D27" s="3352"/>
      <c r="E27" s="2125">
        <f>E28+E33+E34</f>
        <v>19532300</v>
      </c>
      <c r="F27" s="2126"/>
      <c r="G27" s="2101"/>
      <c r="H27" s="2127"/>
      <c r="I27" s="2128"/>
      <c r="J27" s="2127"/>
      <c r="K27" s="2127"/>
      <c r="L27" s="2116"/>
      <c r="M27" s="2127"/>
      <c r="N27" s="2127"/>
      <c r="O27" s="2127"/>
      <c r="P27" s="2127"/>
      <c r="Q27" s="2127"/>
      <c r="R27" s="2127"/>
      <c r="S27" s="2127"/>
      <c r="T27" s="2127"/>
      <c r="U27" s="2129">
        <f>SUM(O27+Q27+S27)</f>
        <v>0</v>
      </c>
      <c r="V27" s="2129">
        <f>SUM(P27+R27+T27)</f>
        <v>0</v>
      </c>
      <c r="W27" s="2129">
        <f t="shared" ref="W27:W32" si="57">U27-V27</f>
        <v>0</v>
      </c>
      <c r="X27" s="2127"/>
      <c r="Y27" s="2127"/>
      <c r="Z27" s="2127"/>
      <c r="AA27" s="2127"/>
      <c r="AB27" s="2127"/>
      <c r="AC27" s="2127"/>
      <c r="AD27" s="2129">
        <f>SUM(X27+Z27+AB27)</f>
        <v>0</v>
      </c>
      <c r="AE27" s="2129">
        <f>SUM(Y27+AA27+AC27)</f>
        <v>0</v>
      </c>
      <c r="AF27" s="2129">
        <f>AD27-AE27</f>
        <v>0</v>
      </c>
      <c r="AG27" s="2127"/>
      <c r="AH27" s="2127"/>
      <c r="AI27" s="2127"/>
      <c r="AJ27" s="2127"/>
      <c r="AK27" s="2127"/>
      <c r="AL27" s="2127"/>
      <c r="AM27" s="2129">
        <f>SUM(AG27+AI27+AK27)</f>
        <v>0</v>
      </c>
      <c r="AN27" s="2129">
        <f>SUM(AH27+AJ27+AL27)</f>
        <v>0</v>
      </c>
      <c r="AO27" s="2129">
        <f>AM27-AN27</f>
        <v>0</v>
      </c>
      <c r="AP27" s="1785"/>
      <c r="AQ27" s="1785"/>
      <c r="AR27" s="1785"/>
      <c r="AS27" s="1785"/>
      <c r="AT27" s="1785"/>
      <c r="AU27" s="1785"/>
      <c r="AV27" s="1786">
        <f>SUM(AP27+AR27+AT27)</f>
        <v>0</v>
      </c>
      <c r="AW27" s="1786">
        <f>SUM(AQ27+AS27+AU27)</f>
        <v>0</v>
      </c>
      <c r="AX27" s="1786">
        <f>AV27-AW27</f>
        <v>0</v>
      </c>
      <c r="AY27" s="1786"/>
      <c r="AZ27" s="2030">
        <f t="shared" si="9"/>
        <v>0</v>
      </c>
      <c r="BA27" s="1724">
        <f t="shared" ref="BA27:BA41" si="58">G27+U27+AD27+AM27+AV27</f>
        <v>0</v>
      </c>
      <c r="BB27" s="1786">
        <f t="shared" si="54"/>
        <v>0</v>
      </c>
      <c r="BC27" s="1786">
        <f>E27-V27-AE27</f>
        <v>19532300</v>
      </c>
      <c r="BD27" s="2049"/>
      <c r="BE27" s="2047"/>
      <c r="BF27" s="2046">
        <f t="shared" si="4"/>
        <v>0</v>
      </c>
    </row>
    <row r="28" spans="1:78" ht="21.75" customHeight="1" x14ac:dyDescent="0.35">
      <c r="A28" s="1776"/>
      <c r="B28" s="1783" t="s">
        <v>680</v>
      </c>
      <c r="C28" s="1783"/>
      <c r="D28" s="1783"/>
      <c r="E28" s="2130">
        <f>E29+E30+E31+E32</f>
        <v>416500</v>
      </c>
      <c r="F28" s="2131">
        <f t="shared" ref="F28:F37" si="59">E28</f>
        <v>416500</v>
      </c>
      <c r="G28" s="2132"/>
      <c r="H28" s="2133">
        <f t="shared" ref="H28:H36" si="60">F28-G28</f>
        <v>416500</v>
      </c>
      <c r="I28" s="2134"/>
      <c r="J28" s="2133"/>
      <c r="K28" s="2133"/>
      <c r="L28" s="2135"/>
      <c r="M28" s="2133"/>
      <c r="N28" s="2133"/>
      <c r="O28" s="2133"/>
      <c r="P28" s="2133">
        <f>SUM(P29:P32)</f>
        <v>15900</v>
      </c>
      <c r="Q28" s="2133"/>
      <c r="R28" s="2133">
        <f>SUM(R29:R32)</f>
        <v>385179.4</v>
      </c>
      <c r="S28" s="2133"/>
      <c r="T28" s="2133">
        <f>SUM(T29:T32)</f>
        <v>0</v>
      </c>
      <c r="U28" s="2133">
        <f>SUM(U29:U32)</f>
        <v>416500</v>
      </c>
      <c r="V28" s="2133">
        <f>SUM(V29:V32)</f>
        <v>401079.4</v>
      </c>
      <c r="W28" s="2133">
        <f t="shared" si="57"/>
        <v>15420.599999999977</v>
      </c>
      <c r="X28" s="2136"/>
      <c r="Y28" s="2136">
        <f>SUM(Y29:Y32)</f>
        <v>0</v>
      </c>
      <c r="Z28" s="2136"/>
      <c r="AA28" s="2136"/>
      <c r="AB28" s="2136"/>
      <c r="AC28" s="2136"/>
      <c r="AD28" s="2137"/>
      <c r="AE28" s="2138"/>
      <c r="AF28" s="2136"/>
      <c r="AG28" s="2136"/>
      <c r="AH28" s="2136"/>
      <c r="AI28" s="2136"/>
      <c r="AJ28" s="2136"/>
      <c r="AK28" s="2136"/>
      <c r="AL28" s="2136"/>
      <c r="AM28" s="2137"/>
      <c r="AN28" s="2138"/>
      <c r="AO28" s="2136"/>
      <c r="AP28" s="1779"/>
      <c r="AQ28" s="1779"/>
      <c r="AR28" s="1779"/>
      <c r="AS28" s="1779"/>
      <c r="AT28" s="1779"/>
      <c r="AU28" s="1779"/>
      <c r="AV28" s="1780"/>
      <c r="AW28" s="1781"/>
      <c r="AX28" s="1779"/>
      <c r="AY28" s="1831"/>
      <c r="AZ28" s="2034">
        <f t="shared" si="9"/>
        <v>0</v>
      </c>
      <c r="BA28" s="1780">
        <f t="shared" si="58"/>
        <v>416500</v>
      </c>
      <c r="BB28" s="1782">
        <f t="shared" si="54"/>
        <v>401079.4</v>
      </c>
      <c r="BC28" s="1782">
        <f>E28-BB28</f>
        <v>15420.599999999977</v>
      </c>
      <c r="BD28" s="2050"/>
      <c r="BE28" s="2047"/>
      <c r="BF28" s="2046">
        <f t="shared" si="4"/>
        <v>401079.4</v>
      </c>
    </row>
    <row r="29" spans="1:78" ht="22.5" customHeight="1" x14ac:dyDescent="0.35">
      <c r="A29" s="1776"/>
      <c r="B29" s="1777" t="s">
        <v>676</v>
      </c>
      <c r="C29" s="1778"/>
      <c r="D29" s="1778"/>
      <c r="E29" s="2125">
        <v>198300</v>
      </c>
      <c r="F29" s="2126">
        <f t="shared" si="59"/>
        <v>198300</v>
      </c>
      <c r="G29" s="2139"/>
      <c r="H29" s="2140">
        <f t="shared" si="60"/>
        <v>198300</v>
      </c>
      <c r="I29" s="2141"/>
      <c r="J29" s="2140"/>
      <c r="K29" s="2140"/>
      <c r="L29" s="2142"/>
      <c r="M29" s="2140"/>
      <c r="N29" s="2140"/>
      <c r="O29" s="2143">
        <v>198300</v>
      </c>
      <c r="P29" s="2144">
        <v>0</v>
      </c>
      <c r="Q29" s="2143">
        <v>0</v>
      </c>
      <c r="R29" s="1703">
        <f>'[9]2.รายการ คชจ.ส่วนกลาง'!$AO$7+'[9]2.รายการ คชจ.ส่วนกลาง'!$AO$14-14990.7</f>
        <v>194708.69999999998</v>
      </c>
      <c r="S29" s="2143">
        <v>0</v>
      </c>
      <c r="T29" s="2144">
        <v>0</v>
      </c>
      <c r="U29" s="2145">
        <f t="shared" ref="U29:V32" si="61">O29+Q29+S29</f>
        <v>198300</v>
      </c>
      <c r="V29" s="2146">
        <f t="shared" si="61"/>
        <v>194708.69999999998</v>
      </c>
      <c r="W29" s="2141">
        <f t="shared" si="57"/>
        <v>3591.3000000000175</v>
      </c>
      <c r="X29" s="2143"/>
      <c r="Y29" s="2144"/>
      <c r="Z29" s="2143"/>
      <c r="AA29" s="2144"/>
      <c r="AB29" s="2143"/>
      <c r="AC29" s="2144"/>
      <c r="AD29" s="2145"/>
      <c r="AE29" s="2146"/>
      <c r="AF29" s="2147"/>
      <c r="AG29" s="2143"/>
      <c r="AH29" s="2144"/>
      <c r="AI29" s="2143"/>
      <c r="AJ29" s="2144"/>
      <c r="AK29" s="2143"/>
      <c r="AL29" s="2144"/>
      <c r="AM29" s="2145"/>
      <c r="AN29" s="2146"/>
      <c r="AO29" s="2147"/>
      <c r="AP29" s="1787"/>
      <c r="AQ29" s="1788"/>
      <c r="AR29" s="1787"/>
      <c r="AS29" s="1788"/>
      <c r="AT29" s="1787"/>
      <c r="AU29" s="1792"/>
      <c r="AV29" s="1789"/>
      <c r="AW29" s="1790"/>
      <c r="AX29" s="1792"/>
      <c r="AY29" s="1832"/>
      <c r="AZ29" s="2030">
        <f t="shared" si="9"/>
        <v>0</v>
      </c>
      <c r="BA29" s="1789">
        <f t="shared" si="58"/>
        <v>198300</v>
      </c>
      <c r="BB29" s="1793">
        <f t="shared" si="54"/>
        <v>194708.69999999998</v>
      </c>
      <c r="BC29" s="1793">
        <f>E29-BB29</f>
        <v>3591.3000000000175</v>
      </c>
      <c r="BD29" s="2050"/>
      <c r="BE29" s="2047"/>
      <c r="BF29" s="2046">
        <f t="shared" si="4"/>
        <v>194708.69999999998</v>
      </c>
    </row>
    <row r="30" spans="1:78" ht="22.5" customHeight="1" x14ac:dyDescent="0.35">
      <c r="A30" s="1776"/>
      <c r="B30" s="1777" t="s">
        <v>677</v>
      </c>
      <c r="C30" s="1778"/>
      <c r="D30" s="1778"/>
      <c r="E30" s="2125">
        <v>15900</v>
      </c>
      <c r="F30" s="2126">
        <f t="shared" si="59"/>
        <v>15900</v>
      </c>
      <c r="G30" s="1884"/>
      <c r="H30" s="1873">
        <f t="shared" si="60"/>
        <v>15900</v>
      </c>
      <c r="I30" s="1926"/>
      <c r="J30" s="1873"/>
      <c r="K30" s="1873"/>
      <c r="L30" s="2042"/>
      <c r="M30" s="1873"/>
      <c r="N30" s="1873"/>
      <c r="O30" s="1702">
        <v>15900</v>
      </c>
      <c r="P30" s="1703">
        <v>15900</v>
      </c>
      <c r="Q30" s="1702"/>
      <c r="R30" s="1703"/>
      <c r="S30" s="1702"/>
      <c r="T30" s="1703"/>
      <c r="U30" s="2148">
        <f t="shared" si="61"/>
        <v>15900</v>
      </c>
      <c r="V30" s="2149">
        <f t="shared" si="61"/>
        <v>15900</v>
      </c>
      <c r="W30" s="1926">
        <f t="shared" si="57"/>
        <v>0</v>
      </c>
      <c r="X30" s="1702"/>
      <c r="Y30" s="1703"/>
      <c r="Z30" s="1702"/>
      <c r="AA30" s="1703"/>
      <c r="AB30" s="1702"/>
      <c r="AC30" s="1703"/>
      <c r="AD30" s="2148"/>
      <c r="AE30" s="2149"/>
      <c r="AF30" s="2150"/>
      <c r="AG30" s="1702"/>
      <c r="AH30" s="1703"/>
      <c r="AI30" s="1702"/>
      <c r="AJ30" s="1703"/>
      <c r="AK30" s="1702"/>
      <c r="AL30" s="1703"/>
      <c r="AM30" s="2148"/>
      <c r="AN30" s="2149"/>
      <c r="AO30" s="2150"/>
      <c r="AP30" s="1698"/>
      <c r="AQ30" s="1699"/>
      <c r="AR30" s="1698"/>
      <c r="AS30" s="1699"/>
      <c r="AT30" s="1698"/>
      <c r="AU30" s="1797"/>
      <c r="AV30" s="1794"/>
      <c r="AW30" s="1795"/>
      <c r="AX30" s="1797"/>
      <c r="AY30" s="1833"/>
      <c r="AZ30" s="2031">
        <f t="shared" si="9"/>
        <v>0</v>
      </c>
      <c r="BA30" s="1794">
        <f t="shared" si="58"/>
        <v>15900</v>
      </c>
      <c r="BB30" s="1798">
        <f t="shared" si="54"/>
        <v>15900</v>
      </c>
      <c r="BC30" s="1798">
        <f>E30-BB30</f>
        <v>0</v>
      </c>
      <c r="BD30" s="2050"/>
      <c r="BE30" s="2047"/>
      <c r="BF30" s="2046">
        <f t="shared" si="4"/>
        <v>15900</v>
      </c>
    </row>
    <row r="31" spans="1:78" ht="22.5" customHeight="1" x14ac:dyDescent="0.35">
      <c r="A31" s="1776"/>
      <c r="B31" s="1777" t="s">
        <v>678</v>
      </c>
      <c r="C31" s="1778"/>
      <c r="D31" s="1778"/>
      <c r="E31" s="2125">
        <v>15000</v>
      </c>
      <c r="F31" s="2126">
        <f t="shared" si="59"/>
        <v>15000</v>
      </c>
      <c r="G31" s="1884"/>
      <c r="H31" s="1873">
        <f t="shared" si="60"/>
        <v>15000</v>
      </c>
      <c r="I31" s="1926"/>
      <c r="J31" s="1873"/>
      <c r="K31" s="1873"/>
      <c r="L31" s="2042"/>
      <c r="M31" s="1873"/>
      <c r="N31" s="1873"/>
      <c r="O31" s="1702">
        <v>15000</v>
      </c>
      <c r="P31" s="1703"/>
      <c r="Q31" s="1702"/>
      <c r="R31" s="1703">
        <v>14990.7</v>
      </c>
      <c r="S31" s="1702"/>
      <c r="T31" s="1703"/>
      <c r="U31" s="2148">
        <f t="shared" si="61"/>
        <v>15000</v>
      </c>
      <c r="V31" s="2149">
        <f t="shared" si="61"/>
        <v>14990.7</v>
      </c>
      <c r="W31" s="1926">
        <f t="shared" si="57"/>
        <v>9.2999999999992724</v>
      </c>
      <c r="X31" s="1702"/>
      <c r="Y31" s="1703"/>
      <c r="Z31" s="1702"/>
      <c r="AA31" s="1703"/>
      <c r="AB31" s="1702"/>
      <c r="AC31" s="1703"/>
      <c r="AD31" s="2148"/>
      <c r="AE31" s="2149"/>
      <c r="AF31" s="2150"/>
      <c r="AG31" s="1702"/>
      <c r="AH31" s="1703"/>
      <c r="AI31" s="1702"/>
      <c r="AJ31" s="1703"/>
      <c r="AK31" s="1702"/>
      <c r="AL31" s="1703"/>
      <c r="AM31" s="2148"/>
      <c r="AN31" s="2149"/>
      <c r="AO31" s="2150"/>
      <c r="AP31" s="1698"/>
      <c r="AQ31" s="1699"/>
      <c r="AR31" s="1698"/>
      <c r="AS31" s="1699"/>
      <c r="AT31" s="1698"/>
      <c r="AU31" s="1797"/>
      <c r="AV31" s="1794"/>
      <c r="AW31" s="1795"/>
      <c r="AX31" s="1797"/>
      <c r="AY31" s="1833"/>
      <c r="AZ31" s="2031">
        <f t="shared" si="9"/>
        <v>0</v>
      </c>
      <c r="BA31" s="1794">
        <f t="shared" si="58"/>
        <v>15000</v>
      </c>
      <c r="BB31" s="1798">
        <f t="shared" si="54"/>
        <v>14990.7</v>
      </c>
      <c r="BC31" s="1798">
        <f>E31-BB31</f>
        <v>9.2999999999992724</v>
      </c>
      <c r="BD31" s="2050"/>
      <c r="BE31" s="2047"/>
      <c r="BF31" s="2046">
        <f t="shared" si="4"/>
        <v>14990.7</v>
      </c>
    </row>
    <row r="32" spans="1:78" ht="22.5" customHeight="1" x14ac:dyDescent="0.35">
      <c r="A32" s="1776"/>
      <c r="B32" s="1777" t="s">
        <v>679</v>
      </c>
      <c r="C32" s="1778"/>
      <c r="D32" s="1778"/>
      <c r="E32" s="2125">
        <v>187300</v>
      </c>
      <c r="F32" s="2126">
        <f t="shared" si="59"/>
        <v>187300</v>
      </c>
      <c r="G32" s="1884"/>
      <c r="H32" s="1873">
        <f t="shared" si="60"/>
        <v>187300</v>
      </c>
      <c r="I32" s="1926"/>
      <c r="J32" s="1873"/>
      <c r="K32" s="1873"/>
      <c r="L32" s="2042"/>
      <c r="M32" s="1873"/>
      <c r="N32" s="1873"/>
      <c r="O32" s="1702"/>
      <c r="P32" s="1703"/>
      <c r="Q32" s="1702">
        <v>187300</v>
      </c>
      <c r="R32" s="1703">
        <f>'[9]2.รายการ คชจ.ส่วนกลาง'!$AO$13</f>
        <v>175480</v>
      </c>
      <c r="S32" s="1702"/>
      <c r="T32" s="1703"/>
      <c r="U32" s="2148">
        <f t="shared" si="61"/>
        <v>187300</v>
      </c>
      <c r="V32" s="2149">
        <f t="shared" si="61"/>
        <v>175480</v>
      </c>
      <c r="W32" s="1926">
        <f t="shared" si="57"/>
        <v>11820</v>
      </c>
      <c r="X32" s="1702"/>
      <c r="Y32" s="1703"/>
      <c r="Z32" s="1702"/>
      <c r="AA32" s="1703"/>
      <c r="AB32" s="1702"/>
      <c r="AC32" s="1703"/>
      <c r="AD32" s="2148"/>
      <c r="AE32" s="2149"/>
      <c r="AF32" s="2150"/>
      <c r="AG32" s="1702"/>
      <c r="AH32" s="1703"/>
      <c r="AI32" s="1702"/>
      <c r="AJ32" s="1703"/>
      <c r="AK32" s="1702"/>
      <c r="AL32" s="1703"/>
      <c r="AM32" s="2148"/>
      <c r="AN32" s="2149"/>
      <c r="AO32" s="2150"/>
      <c r="AP32" s="1698"/>
      <c r="AQ32" s="1699"/>
      <c r="AR32" s="1698"/>
      <c r="AS32" s="1699"/>
      <c r="AT32" s="1698"/>
      <c r="AU32" s="1797"/>
      <c r="AV32" s="1794"/>
      <c r="AW32" s="1795"/>
      <c r="AX32" s="1797"/>
      <c r="AY32" s="1833"/>
      <c r="AZ32" s="2031">
        <f t="shared" si="9"/>
        <v>0</v>
      </c>
      <c r="BA32" s="1794">
        <f t="shared" si="58"/>
        <v>187300</v>
      </c>
      <c r="BB32" s="1798">
        <f t="shared" si="54"/>
        <v>175480</v>
      </c>
      <c r="BC32" s="1798">
        <f>E32-BB32</f>
        <v>11820</v>
      </c>
      <c r="BD32" s="2050"/>
      <c r="BE32" s="2047"/>
      <c r="BF32" s="2046">
        <f t="shared" si="4"/>
        <v>175480</v>
      </c>
    </row>
    <row r="33" spans="1:78" ht="37.5" customHeight="1" x14ac:dyDescent="0.35">
      <c r="A33" s="1653"/>
      <c r="B33" s="3348" t="s">
        <v>681</v>
      </c>
      <c r="C33" s="3348"/>
      <c r="D33" s="3349"/>
      <c r="E33" s="1860">
        <v>13256800</v>
      </c>
      <c r="F33" s="1843">
        <f t="shared" si="59"/>
        <v>13256800</v>
      </c>
      <c r="G33" s="1884"/>
      <c r="H33" s="2151">
        <f t="shared" si="60"/>
        <v>13256800</v>
      </c>
      <c r="I33" s="1926"/>
      <c r="J33" s="2151"/>
      <c r="K33" s="2151"/>
      <c r="L33" s="2042"/>
      <c r="M33" s="2151"/>
      <c r="N33" s="2151"/>
      <c r="O33" s="1702"/>
      <c r="P33" s="1703">
        <f>'[14]16.โครงการรายเดือน'!$B$20</f>
        <v>0</v>
      </c>
      <c r="Q33" s="1702"/>
      <c r="R33" s="1703">
        <f>'[14]16.โครงการรายเดือน'!$C$20</f>
        <v>0</v>
      </c>
      <c r="S33" s="1702"/>
      <c r="T33" s="1703">
        <f>'[14]16.โครงการรายเดือน'!$D$20</f>
        <v>0</v>
      </c>
      <c r="U33" s="1726">
        <f>SUM(O33+Q33+S33)</f>
        <v>0</v>
      </c>
      <c r="V33" s="1730">
        <f t="shared" si="19"/>
        <v>0</v>
      </c>
      <c r="W33" s="1697">
        <f t="shared" si="20"/>
        <v>0</v>
      </c>
      <c r="X33" s="1702"/>
      <c r="Y33" s="1703">
        <f>'[14]16.โครงการรายเดือน'!$E$20</f>
        <v>0</v>
      </c>
      <c r="Z33" s="1702"/>
      <c r="AA33" s="1703">
        <f>'[14]16.โครงการรายเดือน'!$F$20</f>
        <v>0</v>
      </c>
      <c r="AB33" s="1702">
        <v>13256800</v>
      </c>
      <c r="AC33" s="1703">
        <v>0</v>
      </c>
      <c r="AD33" s="1726">
        <f t="shared" si="21"/>
        <v>13256800</v>
      </c>
      <c r="AE33" s="1730">
        <f t="shared" si="6"/>
        <v>0</v>
      </c>
      <c r="AF33" s="1697">
        <f t="shared" si="25"/>
        <v>13256800</v>
      </c>
      <c r="AG33" s="1702"/>
      <c r="AH33" s="1703">
        <f>'[14]16.โครงการรายเดือน'!$H$20</f>
        <v>0</v>
      </c>
      <c r="AI33" s="1702"/>
      <c r="AJ33" s="1703">
        <f>'[14]16.โครงการรายเดือน'!$I$20</f>
        <v>0</v>
      </c>
      <c r="AK33" s="1702"/>
      <c r="AL33" s="1703">
        <f>'[14]16.โครงการรายเดือน'!$J$20</f>
        <v>0</v>
      </c>
      <c r="AM33" s="1726">
        <f t="shared" ref="AM33:AM63" si="62">SUM(AG33+AI33+AK33)</f>
        <v>0</v>
      </c>
      <c r="AN33" s="1730">
        <f t="shared" si="32"/>
        <v>0</v>
      </c>
      <c r="AO33" s="1697">
        <f t="shared" si="7"/>
        <v>0</v>
      </c>
      <c r="AP33" s="1698"/>
      <c r="AQ33" s="1699">
        <f>'[14]16.โครงการรายเดือน'!$K$20</f>
        <v>0</v>
      </c>
      <c r="AR33" s="1698"/>
      <c r="AS33" s="1699">
        <f>'[14]16.โครงการรายเดือน'!$L$20</f>
        <v>10788565</v>
      </c>
      <c r="AT33" s="1698"/>
      <c r="AU33" s="1699">
        <f>'[14]16.โครงการรายเดือน'!$M$20</f>
        <v>0</v>
      </c>
      <c r="AV33" s="1725">
        <f t="shared" ref="AV33:AV63" si="63">SUM(AP33+AR33+AT33)</f>
        <v>0</v>
      </c>
      <c r="AW33" s="1729">
        <f t="shared" si="33"/>
        <v>10788565</v>
      </c>
      <c r="AX33" s="1696">
        <f t="shared" si="8"/>
        <v>-10788565</v>
      </c>
      <c r="AY33" s="1829"/>
      <c r="AZ33" s="2031">
        <f t="shared" si="9"/>
        <v>0</v>
      </c>
      <c r="BA33" s="1725">
        <f t="shared" si="58"/>
        <v>13256800</v>
      </c>
      <c r="BB33" s="1706">
        <f t="shared" si="54"/>
        <v>10788565</v>
      </c>
      <c r="BC33" s="1706">
        <f>E33-V33-AE33</f>
        <v>13256800</v>
      </c>
      <c r="BD33" s="2051"/>
      <c r="BE33" s="2047"/>
      <c r="BF33" s="2046">
        <f t="shared" si="4"/>
        <v>10788565</v>
      </c>
    </row>
    <row r="34" spans="1:78" ht="39" customHeight="1" x14ac:dyDescent="0.35">
      <c r="A34" s="1653"/>
      <c r="B34" s="3353" t="s">
        <v>682</v>
      </c>
      <c r="C34" s="3353"/>
      <c r="D34" s="3354"/>
      <c r="E34" s="1860">
        <v>5859000</v>
      </c>
      <c r="F34" s="1843">
        <f t="shared" si="59"/>
        <v>5859000</v>
      </c>
      <c r="G34" s="1884"/>
      <c r="H34" s="2151">
        <f t="shared" si="60"/>
        <v>5859000</v>
      </c>
      <c r="I34" s="1926"/>
      <c r="J34" s="2151"/>
      <c r="K34" s="2151"/>
      <c r="L34" s="2042"/>
      <c r="M34" s="2151"/>
      <c r="N34" s="2151"/>
      <c r="O34" s="1702">
        <v>0</v>
      </c>
      <c r="P34" s="1703">
        <f>'[14]16.โครงการรายเดือน'!$P$20</f>
        <v>0</v>
      </c>
      <c r="Q34" s="1702">
        <v>0</v>
      </c>
      <c r="R34" s="1703">
        <f>'[14]16.โครงการรายเดือน'!$Q$20</f>
        <v>0</v>
      </c>
      <c r="S34" s="1702">
        <v>585900</v>
      </c>
      <c r="T34" s="1703">
        <f>'[14]16.โครงการรายเดือน'!$R$20</f>
        <v>0</v>
      </c>
      <c r="U34" s="1726">
        <f t="shared" ref="U34:U63" si="64">SUM(O34+Q34+S34)</f>
        <v>585900</v>
      </c>
      <c r="V34" s="1730">
        <f t="shared" si="19"/>
        <v>0</v>
      </c>
      <c r="W34" s="1697">
        <f t="shared" si="20"/>
        <v>585900</v>
      </c>
      <c r="X34" s="1702">
        <v>0</v>
      </c>
      <c r="Y34" s="1703">
        <f>'[14]16.โครงการรายเดือน'!$S$20</f>
        <v>0</v>
      </c>
      <c r="Z34" s="1702">
        <v>0</v>
      </c>
      <c r="AA34" s="1703">
        <f>'[14]16.โครงการรายเดือน'!$T$20</f>
        <v>0</v>
      </c>
      <c r="AB34" s="1702">
        <v>1757700</v>
      </c>
      <c r="AC34" s="1703">
        <f>'[14]16.โครงการรายเดือน'!$U$20</f>
        <v>0</v>
      </c>
      <c r="AD34" s="1726">
        <f t="shared" si="21"/>
        <v>1757700</v>
      </c>
      <c r="AE34" s="1730">
        <f t="shared" si="6"/>
        <v>0</v>
      </c>
      <c r="AF34" s="1697">
        <f t="shared" si="25"/>
        <v>1757700</v>
      </c>
      <c r="AG34" s="1702">
        <v>0</v>
      </c>
      <c r="AH34" s="1703">
        <f>'[14]16.โครงการรายเดือน'!$V$20</f>
        <v>0</v>
      </c>
      <c r="AI34" s="1702">
        <v>0</v>
      </c>
      <c r="AJ34" s="1703">
        <f>'[14]16.โครงการรายเดือน'!$W$20</f>
        <v>200222.2</v>
      </c>
      <c r="AK34" s="1702">
        <v>1757700</v>
      </c>
      <c r="AL34" s="1703">
        <f>'[14]16.โครงการรายเดือน'!$X$20</f>
        <v>0</v>
      </c>
      <c r="AM34" s="1726">
        <f t="shared" si="62"/>
        <v>1757700</v>
      </c>
      <c r="AN34" s="1730">
        <f t="shared" si="32"/>
        <v>200222.2</v>
      </c>
      <c r="AO34" s="1697">
        <f t="shared" si="7"/>
        <v>1557477.8</v>
      </c>
      <c r="AP34" s="1698">
        <v>0</v>
      </c>
      <c r="AQ34" s="1699">
        <f>'[14]16.โครงการรายเดือน'!$Y$20</f>
        <v>400444.4</v>
      </c>
      <c r="AR34" s="1698">
        <v>0</v>
      </c>
      <c r="AS34" s="1699">
        <f>'[14]16.โครงการรายเดือน'!$Z$20</f>
        <v>0</v>
      </c>
      <c r="AT34" s="1698">
        <v>1757700</v>
      </c>
      <c r="AU34" s="1699">
        <f>'[14]16.โครงการรายเดือน'!$AA$20</f>
        <v>800888.8</v>
      </c>
      <c r="AV34" s="1725">
        <f t="shared" si="63"/>
        <v>1757700</v>
      </c>
      <c r="AW34" s="1729">
        <f t="shared" si="33"/>
        <v>1201333.2000000002</v>
      </c>
      <c r="AX34" s="1696">
        <f t="shared" si="8"/>
        <v>556366.79999999981</v>
      </c>
      <c r="AY34" s="1829"/>
      <c r="AZ34" s="2031">
        <f t="shared" si="9"/>
        <v>-200222.2</v>
      </c>
      <c r="BA34" s="1725">
        <f t="shared" si="58"/>
        <v>5859000</v>
      </c>
      <c r="BB34" s="1706">
        <f t="shared" si="54"/>
        <v>1401555.4000000001</v>
      </c>
      <c r="BC34" s="1706">
        <f>E34-V34-AE34-AN34-AW34</f>
        <v>4457444.5999999996</v>
      </c>
      <c r="BD34" s="2051"/>
      <c r="BE34" s="2047"/>
      <c r="BF34" s="2046">
        <f t="shared" si="4"/>
        <v>1401555.4000000001</v>
      </c>
    </row>
    <row r="35" spans="1:78" ht="19.5" customHeight="1" x14ac:dyDescent="0.35">
      <c r="A35" s="3357" t="s">
        <v>614</v>
      </c>
      <c r="B35" s="3353"/>
      <c r="C35" s="3353"/>
      <c r="D35" s="3354"/>
      <c r="E35" s="1860">
        <f>E36+E37</f>
        <v>17203100</v>
      </c>
      <c r="F35" s="1843">
        <f t="shared" si="59"/>
        <v>17203100</v>
      </c>
      <c r="G35" s="1884"/>
      <c r="H35" s="2151">
        <f t="shared" si="60"/>
        <v>17203100</v>
      </c>
      <c r="I35" s="1926"/>
      <c r="J35" s="2151"/>
      <c r="K35" s="2151"/>
      <c r="L35" s="2042"/>
      <c r="M35" s="2151"/>
      <c r="N35" s="2151"/>
      <c r="O35" s="1702"/>
      <c r="P35" s="1703"/>
      <c r="Q35" s="1702"/>
      <c r="R35" s="1703"/>
      <c r="S35" s="1702"/>
      <c r="T35" s="1703"/>
      <c r="U35" s="1726">
        <f t="shared" si="64"/>
        <v>0</v>
      </c>
      <c r="V35" s="1730">
        <f t="shared" si="19"/>
        <v>0</v>
      </c>
      <c r="W35" s="1697">
        <f t="shared" si="20"/>
        <v>0</v>
      </c>
      <c r="X35" s="1702"/>
      <c r="Y35" s="1703"/>
      <c r="Z35" s="1702"/>
      <c r="AA35" s="1703"/>
      <c r="AB35" s="1702"/>
      <c r="AC35" s="1703"/>
      <c r="AD35" s="1726">
        <f t="shared" si="21"/>
        <v>0</v>
      </c>
      <c r="AE35" s="1730">
        <f t="shared" si="6"/>
        <v>0</v>
      </c>
      <c r="AF35" s="1697">
        <f t="shared" si="25"/>
        <v>0</v>
      </c>
      <c r="AG35" s="1702"/>
      <c r="AH35" s="1703"/>
      <c r="AI35" s="1702"/>
      <c r="AJ35" s="1703"/>
      <c r="AK35" s="1702"/>
      <c r="AL35" s="1703"/>
      <c r="AM35" s="1726">
        <f t="shared" si="62"/>
        <v>0</v>
      </c>
      <c r="AN35" s="1730">
        <f t="shared" si="32"/>
        <v>0</v>
      </c>
      <c r="AO35" s="1697">
        <f t="shared" si="7"/>
        <v>0</v>
      </c>
      <c r="AP35" s="1698"/>
      <c r="AQ35" s="1699"/>
      <c r="AR35" s="1698"/>
      <c r="AS35" s="1699"/>
      <c r="AT35" s="1698"/>
      <c r="AU35" s="1699"/>
      <c r="AV35" s="1725">
        <f t="shared" si="63"/>
        <v>0</v>
      </c>
      <c r="AW35" s="1729">
        <f t="shared" si="33"/>
        <v>0</v>
      </c>
      <c r="AX35" s="1696">
        <f t="shared" si="8"/>
        <v>0</v>
      </c>
      <c r="AY35" s="1829"/>
      <c r="AZ35" s="2031">
        <f t="shared" si="9"/>
        <v>0</v>
      </c>
      <c r="BA35" s="1725">
        <f t="shared" si="58"/>
        <v>0</v>
      </c>
      <c r="BB35" s="1706">
        <f t="shared" si="54"/>
        <v>0</v>
      </c>
      <c r="BC35" s="1706">
        <f>E35-V35-AE35</f>
        <v>17203100</v>
      </c>
      <c r="BD35" s="2051"/>
      <c r="BE35" s="2047"/>
      <c r="BF35" s="2046">
        <f t="shared" si="4"/>
        <v>0</v>
      </c>
    </row>
    <row r="36" spans="1:78" s="366" customFormat="1" ht="23.25" customHeight="1" x14ac:dyDescent="0.35">
      <c r="A36" s="1653"/>
      <c r="B36" s="3327" t="s">
        <v>683</v>
      </c>
      <c r="C36" s="3327"/>
      <c r="D36" s="3328"/>
      <c r="E36" s="1860">
        <v>14053100</v>
      </c>
      <c r="F36" s="1843">
        <f t="shared" si="59"/>
        <v>14053100</v>
      </c>
      <c r="G36" s="1884"/>
      <c r="H36" s="2151">
        <f t="shared" si="60"/>
        <v>14053100</v>
      </c>
      <c r="I36" s="1926"/>
      <c r="J36" s="2151"/>
      <c r="K36" s="2151"/>
      <c r="L36" s="2042"/>
      <c r="M36" s="2151"/>
      <c r="N36" s="2151"/>
      <c r="O36" s="1702"/>
      <c r="P36" s="1703"/>
      <c r="Q36" s="1702"/>
      <c r="R36" s="1703">
        <f>'[14]16.โครงการรายเดือน'!$CW$20</f>
        <v>0</v>
      </c>
      <c r="S36" s="1702"/>
      <c r="T36" s="1703">
        <f>'[14]16.โครงการรายเดือน'!$CX$20</f>
        <v>0</v>
      </c>
      <c r="U36" s="1726">
        <f t="shared" si="64"/>
        <v>0</v>
      </c>
      <c r="V36" s="1730">
        <f t="shared" si="19"/>
        <v>0</v>
      </c>
      <c r="W36" s="1697">
        <f t="shared" si="20"/>
        <v>0</v>
      </c>
      <c r="X36" s="1702"/>
      <c r="Y36" s="1703">
        <f>'[14]16.โครงการรายเดือน'!$CY$20</f>
        <v>0</v>
      </c>
      <c r="Z36" s="1702"/>
      <c r="AA36" s="1703">
        <f>'[14]16.โครงการรายเดือน'!$CZ$20</f>
        <v>0</v>
      </c>
      <c r="AB36" s="1702">
        <f>'[19]ยุทธฯ Cyber'!$I$14</f>
        <v>5621240</v>
      </c>
      <c r="AC36" s="1703">
        <f>'[14]สรุป สทส. รายเดือน'!$T$9</f>
        <v>2053200</v>
      </c>
      <c r="AD36" s="1726">
        <f t="shared" si="21"/>
        <v>5621240</v>
      </c>
      <c r="AE36" s="1730">
        <f t="shared" si="6"/>
        <v>2053200</v>
      </c>
      <c r="AF36" s="1697">
        <f t="shared" si="25"/>
        <v>3568040</v>
      </c>
      <c r="AG36" s="1702"/>
      <c r="AH36" s="1703">
        <f>'[14]16.โครงการรายเดือน'!$DB$20</f>
        <v>8897200</v>
      </c>
      <c r="AI36" s="1702"/>
      <c r="AJ36" s="1703">
        <f>'[14]16.โครงการรายเดือน'!$DC$20</f>
        <v>0</v>
      </c>
      <c r="AK36" s="1702">
        <f>'[19]ยุทธฯ Cyber'!$L$15</f>
        <v>8431860</v>
      </c>
      <c r="AL36" s="1703">
        <f>'[14]16.โครงการรายเดือน'!$DD$20</f>
        <v>0</v>
      </c>
      <c r="AM36" s="1726">
        <f t="shared" si="62"/>
        <v>8431860</v>
      </c>
      <c r="AN36" s="1730">
        <f t="shared" si="32"/>
        <v>8897200</v>
      </c>
      <c r="AO36" s="1697">
        <f t="shared" si="7"/>
        <v>-465340</v>
      </c>
      <c r="AP36" s="1698"/>
      <c r="AQ36" s="1699">
        <f>'[14]16.โครงการรายเดือน'!$DE$20</f>
        <v>2737600</v>
      </c>
      <c r="AR36" s="1698"/>
      <c r="AS36" s="1699">
        <f>'[14]16.โครงการรายเดือน'!$DF$20</f>
        <v>0</v>
      </c>
      <c r="AT36" s="1698"/>
      <c r="AU36" s="1699">
        <f>'[14]16.โครงการรายเดือน'!$DG$20</f>
        <v>0</v>
      </c>
      <c r="AV36" s="1725">
        <f t="shared" si="63"/>
        <v>0</v>
      </c>
      <c r="AW36" s="1729">
        <f t="shared" si="33"/>
        <v>2737600</v>
      </c>
      <c r="AX36" s="1696">
        <f t="shared" si="8"/>
        <v>-2737600</v>
      </c>
      <c r="AY36" s="1830">
        <f>H36-V36-AE36</f>
        <v>11999900</v>
      </c>
      <c r="AZ36" s="2031">
        <f>K36-AN36+AY36</f>
        <v>3102700</v>
      </c>
      <c r="BA36" s="1725">
        <f t="shared" si="58"/>
        <v>14053100</v>
      </c>
      <c r="BB36" s="1706">
        <f t="shared" si="54"/>
        <v>13688000</v>
      </c>
      <c r="BC36" s="1706">
        <f>E36-V36-AE36-AN36-AW36</f>
        <v>365100</v>
      </c>
      <c r="BD36" s="2051"/>
      <c r="BE36" s="2047"/>
      <c r="BF36" s="2046">
        <f t="shared" si="4"/>
        <v>13688000</v>
      </c>
      <c r="BG36" s="395"/>
    </row>
    <row r="37" spans="1:78" ht="39.75" customHeight="1" x14ac:dyDescent="0.35">
      <c r="A37" s="1664"/>
      <c r="B37" s="3325" t="s">
        <v>684</v>
      </c>
      <c r="C37" s="3325"/>
      <c r="D37" s="3326"/>
      <c r="E37" s="1860">
        <f>SUM(E38:E41)-702600</f>
        <v>3150000</v>
      </c>
      <c r="F37" s="1843">
        <f t="shared" si="59"/>
        <v>3150000</v>
      </c>
      <c r="G37" s="1884"/>
      <c r="H37" s="1873"/>
      <c r="I37" s="1926">
        <v>0</v>
      </c>
      <c r="J37" s="1873"/>
      <c r="K37" s="1873"/>
      <c r="L37" s="2042"/>
      <c r="M37" s="1873"/>
      <c r="N37" s="1873"/>
      <c r="O37" s="1702"/>
      <c r="P37" s="1703">
        <f>'[13]16.โครงการ รายเดือน'!$DY$20</f>
        <v>0</v>
      </c>
      <c r="Q37" s="1702"/>
      <c r="R37" s="1703">
        <f>'[13]16.โครงการ รายเดือน'!$EA$20</f>
        <v>0</v>
      </c>
      <c r="S37" s="1702"/>
      <c r="T37" s="1703">
        <f>'[13]16.โครงการ รายเดือน'!$EC$20</f>
        <v>0</v>
      </c>
      <c r="U37" s="1726">
        <f t="shared" si="64"/>
        <v>0</v>
      </c>
      <c r="V37" s="1730">
        <f t="shared" si="19"/>
        <v>0</v>
      </c>
      <c r="W37" s="1697">
        <f t="shared" si="20"/>
        <v>0</v>
      </c>
      <c r="X37" s="1702"/>
      <c r="Y37" s="1703">
        <f>'[13]16.โครงการ รายเดือน'!$EE$20</f>
        <v>0</v>
      </c>
      <c r="Z37" s="1702">
        <f>'[19]ยุทธฯ ประยุกต์ใช้เทคโนฯ(เดิม)'!$H$14</f>
        <v>1520000</v>
      </c>
      <c r="AA37" s="1703">
        <f>'[13]16.โครงการ รายเดือน'!$EG$20</f>
        <v>0</v>
      </c>
      <c r="AB37" s="1702">
        <f>'[19]ยุทธฯ ประยุกต์ใช้เทคโนฯ(เดิม)'!$I$15+'[19]ยุทธฯ ประยุกต์ใช้เทคโนฯ(เดิม)'!$I$17</f>
        <v>1140000</v>
      </c>
      <c r="AC37" s="1703">
        <f>'[13]16.โครงการ รายเดือน'!$EI$20</f>
        <v>0</v>
      </c>
      <c r="AD37" s="1726">
        <f t="shared" si="21"/>
        <v>2660000</v>
      </c>
      <c r="AE37" s="1730">
        <f t="shared" si="6"/>
        <v>0</v>
      </c>
      <c r="AF37" s="1697">
        <f t="shared" si="25"/>
        <v>2660000</v>
      </c>
      <c r="AG37" s="1702"/>
      <c r="AH37" s="1703">
        <f>'[13]16.โครงการ รายเดือน'!$EK$20</f>
        <v>0</v>
      </c>
      <c r="AI37" s="1702">
        <f>'[19]ยุทธฯ ประยุกต์ใช้เทคโนฯ(เดิม)'!$K$16</f>
        <v>490000</v>
      </c>
      <c r="AJ37" s="1703">
        <f>'[13]16.โครงการ รายเดือน'!$EM$20</f>
        <v>246500</v>
      </c>
      <c r="AK37" s="1702"/>
      <c r="AL37" s="1703">
        <f>'[13]16.โครงการ รายเดือน'!$EO$20</f>
        <v>0</v>
      </c>
      <c r="AM37" s="1726">
        <f t="shared" si="62"/>
        <v>490000</v>
      </c>
      <c r="AN37" s="1730">
        <f t="shared" si="32"/>
        <v>246500</v>
      </c>
      <c r="AO37" s="1697">
        <f t="shared" si="7"/>
        <v>243500</v>
      </c>
      <c r="AP37" s="1702"/>
      <c r="AQ37" s="1703">
        <f>'[13]16.โครงการ รายเดือน'!$EQ$20</f>
        <v>0</v>
      </c>
      <c r="AR37" s="1702"/>
      <c r="AS37" s="1703">
        <f>'[13]16.โครงการ รายเดือน'!$ES$20</f>
        <v>0</v>
      </c>
      <c r="AT37" s="1702"/>
      <c r="AU37" s="1703">
        <f>'[13]16.โครงการ รายเดือน'!$EU$20</f>
        <v>0</v>
      </c>
      <c r="AV37" s="1725">
        <f t="shared" si="63"/>
        <v>0</v>
      </c>
      <c r="AW37" s="1729">
        <f t="shared" si="33"/>
        <v>0</v>
      </c>
      <c r="AX37" s="1696">
        <f t="shared" si="8"/>
        <v>0</v>
      </c>
      <c r="AY37" s="1829"/>
      <c r="AZ37" s="2031">
        <f t="shared" si="9"/>
        <v>-246500</v>
      </c>
      <c r="BA37" s="1725">
        <f t="shared" si="58"/>
        <v>3150000</v>
      </c>
      <c r="BB37" s="1706">
        <f t="shared" si="54"/>
        <v>246500</v>
      </c>
      <c r="BC37" s="1706">
        <f>E37-V37-AE37-AN37-AW37</f>
        <v>2903500</v>
      </c>
      <c r="BD37" s="2051"/>
      <c r="BE37" s="2047"/>
      <c r="BF37" s="2046">
        <f t="shared" si="4"/>
        <v>246500</v>
      </c>
      <c r="BG37" s="416">
        <f>BA37-E37</f>
        <v>0</v>
      </c>
    </row>
    <row r="38" spans="1:78" ht="44.25" hidden="1" customHeight="1" x14ac:dyDescent="0.35">
      <c r="A38" s="1666"/>
      <c r="B38" s="1667"/>
      <c r="C38" s="3355" t="s">
        <v>630</v>
      </c>
      <c r="D38" s="3356"/>
      <c r="E38" s="2152">
        <v>2900000</v>
      </c>
      <c r="F38" s="2153"/>
      <c r="G38" s="1884"/>
      <c r="H38" s="2154"/>
      <c r="I38" s="1926"/>
      <c r="J38" s="2154"/>
      <c r="K38" s="2154"/>
      <c r="L38" s="2042"/>
      <c r="M38" s="2154"/>
      <c r="N38" s="2154"/>
      <c r="O38" s="1702"/>
      <c r="P38" s="1703"/>
      <c r="Q38" s="1702"/>
      <c r="R38" s="1703"/>
      <c r="S38" s="1702"/>
      <c r="T38" s="1703"/>
      <c r="U38" s="1726">
        <f t="shared" si="64"/>
        <v>0</v>
      </c>
      <c r="V38" s="1730">
        <f t="shared" si="19"/>
        <v>0</v>
      </c>
      <c r="W38" s="1697">
        <f t="shared" si="20"/>
        <v>0</v>
      </c>
      <c r="X38" s="1702"/>
      <c r="Y38" s="1703"/>
      <c r="Z38" s="1702"/>
      <c r="AA38" s="1703"/>
      <c r="AB38" s="1702"/>
      <c r="AC38" s="1703"/>
      <c r="AD38" s="1726">
        <f t="shared" si="21"/>
        <v>0</v>
      </c>
      <c r="AE38" s="1730">
        <f t="shared" si="6"/>
        <v>0</v>
      </c>
      <c r="AF38" s="1697">
        <f t="shared" si="25"/>
        <v>0</v>
      </c>
      <c r="AG38" s="1702"/>
      <c r="AH38" s="1703"/>
      <c r="AI38" s="1702"/>
      <c r="AJ38" s="1703"/>
      <c r="AK38" s="1702"/>
      <c r="AL38" s="1703"/>
      <c r="AM38" s="1726">
        <f t="shared" si="62"/>
        <v>0</v>
      </c>
      <c r="AN38" s="1730">
        <f t="shared" si="32"/>
        <v>0</v>
      </c>
      <c r="AO38" s="1697">
        <f t="shared" si="7"/>
        <v>0</v>
      </c>
      <c r="AP38" s="1698"/>
      <c r="AQ38" s="1699"/>
      <c r="AR38" s="1698"/>
      <c r="AS38" s="1699"/>
      <c r="AT38" s="1698"/>
      <c r="AU38" s="1699"/>
      <c r="AV38" s="1725">
        <f t="shared" si="63"/>
        <v>0</v>
      </c>
      <c r="AW38" s="1729">
        <f t="shared" si="33"/>
        <v>0</v>
      </c>
      <c r="AX38" s="1696">
        <f t="shared" si="8"/>
        <v>0</v>
      </c>
      <c r="AY38" s="1829"/>
      <c r="AZ38" s="2031">
        <f t="shared" si="9"/>
        <v>0</v>
      </c>
      <c r="BA38" s="1725">
        <f t="shared" si="58"/>
        <v>0</v>
      </c>
      <c r="BB38" s="1707">
        <f t="shared" si="54"/>
        <v>0</v>
      </c>
      <c r="BC38" s="1708">
        <f>E38-V38-AE38</f>
        <v>2900000</v>
      </c>
      <c r="BD38" s="2052"/>
      <c r="BE38" s="2047"/>
      <c r="BF38" s="2046">
        <f t="shared" si="4"/>
        <v>0</v>
      </c>
    </row>
    <row r="39" spans="1:78" ht="44.25" hidden="1" customHeight="1" x14ac:dyDescent="0.35">
      <c r="A39" s="1666"/>
      <c r="B39" s="1667"/>
      <c r="C39" s="3355" t="s">
        <v>631</v>
      </c>
      <c r="D39" s="3356"/>
      <c r="E39" s="2152">
        <v>250000</v>
      </c>
      <c r="F39" s="2153"/>
      <c r="G39" s="1884"/>
      <c r="H39" s="2154"/>
      <c r="I39" s="1926"/>
      <c r="J39" s="2154"/>
      <c r="K39" s="2154"/>
      <c r="L39" s="2042"/>
      <c r="M39" s="2154"/>
      <c r="N39" s="2154"/>
      <c r="O39" s="1702"/>
      <c r="P39" s="1703"/>
      <c r="Q39" s="1702"/>
      <c r="R39" s="1703"/>
      <c r="S39" s="1702"/>
      <c r="T39" s="1703"/>
      <c r="U39" s="1726">
        <f t="shared" si="64"/>
        <v>0</v>
      </c>
      <c r="V39" s="1730">
        <f t="shared" si="19"/>
        <v>0</v>
      </c>
      <c r="W39" s="1697">
        <f t="shared" si="20"/>
        <v>0</v>
      </c>
      <c r="X39" s="1702"/>
      <c r="Y39" s="1703"/>
      <c r="Z39" s="1702"/>
      <c r="AA39" s="1703"/>
      <c r="AB39" s="1702"/>
      <c r="AC39" s="1703"/>
      <c r="AD39" s="1726">
        <f t="shared" si="21"/>
        <v>0</v>
      </c>
      <c r="AE39" s="1730">
        <f t="shared" si="6"/>
        <v>0</v>
      </c>
      <c r="AF39" s="1697">
        <f t="shared" si="25"/>
        <v>0</v>
      </c>
      <c r="AG39" s="1702"/>
      <c r="AH39" s="1703"/>
      <c r="AI39" s="1702"/>
      <c r="AJ39" s="1703"/>
      <c r="AK39" s="1702"/>
      <c r="AL39" s="1703"/>
      <c r="AM39" s="1726">
        <f t="shared" si="62"/>
        <v>0</v>
      </c>
      <c r="AN39" s="1730">
        <f t="shared" si="32"/>
        <v>0</v>
      </c>
      <c r="AO39" s="1697">
        <f t="shared" si="7"/>
        <v>0</v>
      </c>
      <c r="AP39" s="1698"/>
      <c r="AQ39" s="1699"/>
      <c r="AR39" s="1698"/>
      <c r="AS39" s="1699"/>
      <c r="AT39" s="1698"/>
      <c r="AU39" s="1699"/>
      <c r="AV39" s="1725">
        <f t="shared" si="63"/>
        <v>0</v>
      </c>
      <c r="AW39" s="1729">
        <f t="shared" si="33"/>
        <v>0</v>
      </c>
      <c r="AX39" s="1696">
        <f t="shared" si="8"/>
        <v>0</v>
      </c>
      <c r="AY39" s="1829"/>
      <c r="AZ39" s="2031">
        <f t="shared" si="9"/>
        <v>0</v>
      </c>
      <c r="BA39" s="1725">
        <f t="shared" si="58"/>
        <v>0</v>
      </c>
      <c r="BB39" s="1707">
        <f t="shared" si="54"/>
        <v>0</v>
      </c>
      <c r="BC39" s="1708">
        <f>E39-V39-AE39</f>
        <v>250000</v>
      </c>
      <c r="BD39" s="2052"/>
      <c r="BE39" s="2047"/>
      <c r="BF39" s="2046">
        <f t="shared" si="4"/>
        <v>0</v>
      </c>
    </row>
    <row r="40" spans="1:78" ht="44.25" hidden="1" customHeight="1" x14ac:dyDescent="0.35">
      <c r="A40" s="1666"/>
      <c r="B40" s="1667"/>
      <c r="C40" s="3355" t="s">
        <v>632</v>
      </c>
      <c r="D40" s="3356"/>
      <c r="E40" s="2152">
        <v>471300</v>
      </c>
      <c r="F40" s="2153"/>
      <c r="G40" s="1884"/>
      <c r="H40" s="2154"/>
      <c r="I40" s="1926"/>
      <c r="J40" s="2154"/>
      <c r="K40" s="2154"/>
      <c r="L40" s="2042"/>
      <c r="M40" s="2154"/>
      <c r="N40" s="2154"/>
      <c r="O40" s="1702"/>
      <c r="P40" s="1703"/>
      <c r="Q40" s="1702"/>
      <c r="R40" s="1703"/>
      <c r="S40" s="1702"/>
      <c r="T40" s="1703"/>
      <c r="U40" s="1726">
        <f t="shared" si="64"/>
        <v>0</v>
      </c>
      <c r="V40" s="1730">
        <f t="shared" si="19"/>
        <v>0</v>
      </c>
      <c r="W40" s="1697">
        <f t="shared" si="20"/>
        <v>0</v>
      </c>
      <c r="X40" s="1702"/>
      <c r="Y40" s="1703"/>
      <c r="Z40" s="1702"/>
      <c r="AA40" s="1703"/>
      <c r="AB40" s="1702"/>
      <c r="AC40" s="1703"/>
      <c r="AD40" s="1726">
        <f t="shared" si="21"/>
        <v>0</v>
      </c>
      <c r="AE40" s="1730">
        <f t="shared" si="6"/>
        <v>0</v>
      </c>
      <c r="AF40" s="1697">
        <f t="shared" si="25"/>
        <v>0</v>
      </c>
      <c r="AG40" s="1702"/>
      <c r="AH40" s="1703"/>
      <c r="AI40" s="1702"/>
      <c r="AJ40" s="1703"/>
      <c r="AK40" s="1702"/>
      <c r="AL40" s="1703"/>
      <c r="AM40" s="1726">
        <f t="shared" si="62"/>
        <v>0</v>
      </c>
      <c r="AN40" s="1730">
        <f t="shared" si="32"/>
        <v>0</v>
      </c>
      <c r="AO40" s="1697">
        <f t="shared" si="7"/>
        <v>0</v>
      </c>
      <c r="AP40" s="1698"/>
      <c r="AQ40" s="1699"/>
      <c r="AR40" s="1698"/>
      <c r="AS40" s="1699"/>
      <c r="AT40" s="1698"/>
      <c r="AU40" s="1699"/>
      <c r="AV40" s="1725">
        <f t="shared" si="63"/>
        <v>0</v>
      </c>
      <c r="AW40" s="1729">
        <f t="shared" si="33"/>
        <v>0</v>
      </c>
      <c r="AX40" s="1696">
        <f t="shared" si="8"/>
        <v>0</v>
      </c>
      <c r="AY40" s="1829"/>
      <c r="AZ40" s="2031">
        <f t="shared" si="9"/>
        <v>0</v>
      </c>
      <c r="BA40" s="1725">
        <f t="shared" si="58"/>
        <v>0</v>
      </c>
      <c r="BB40" s="1707">
        <f t="shared" si="54"/>
        <v>0</v>
      </c>
      <c r="BC40" s="1708">
        <f>E40-V40-AE40</f>
        <v>471300</v>
      </c>
      <c r="BD40" s="2052"/>
      <c r="BE40" s="2047"/>
      <c r="BF40" s="2046">
        <f t="shared" si="4"/>
        <v>0</v>
      </c>
    </row>
    <row r="41" spans="1:78" ht="44.25" hidden="1" customHeight="1" x14ac:dyDescent="0.35">
      <c r="A41" s="1666"/>
      <c r="B41" s="1667"/>
      <c r="C41" s="3355" t="s">
        <v>633</v>
      </c>
      <c r="D41" s="3356"/>
      <c r="E41" s="2152">
        <v>231300</v>
      </c>
      <c r="F41" s="2153"/>
      <c r="G41" s="1884"/>
      <c r="H41" s="2154"/>
      <c r="I41" s="1926"/>
      <c r="J41" s="2154"/>
      <c r="K41" s="2154"/>
      <c r="L41" s="2042"/>
      <c r="M41" s="2154"/>
      <c r="N41" s="2154"/>
      <c r="O41" s="1702"/>
      <c r="P41" s="1703"/>
      <c r="Q41" s="1702"/>
      <c r="R41" s="1703"/>
      <c r="S41" s="1702"/>
      <c r="T41" s="1703"/>
      <c r="U41" s="1726">
        <f t="shared" si="64"/>
        <v>0</v>
      </c>
      <c r="V41" s="1730">
        <f t="shared" si="19"/>
        <v>0</v>
      </c>
      <c r="W41" s="1697">
        <f t="shared" si="20"/>
        <v>0</v>
      </c>
      <c r="X41" s="1702"/>
      <c r="Y41" s="1703"/>
      <c r="Z41" s="1702"/>
      <c r="AA41" s="1703"/>
      <c r="AB41" s="1702"/>
      <c r="AC41" s="1703"/>
      <c r="AD41" s="1726">
        <f t="shared" si="21"/>
        <v>0</v>
      </c>
      <c r="AE41" s="1730">
        <f t="shared" si="6"/>
        <v>0</v>
      </c>
      <c r="AF41" s="1697">
        <f t="shared" si="25"/>
        <v>0</v>
      </c>
      <c r="AG41" s="1702"/>
      <c r="AH41" s="1703"/>
      <c r="AI41" s="1702"/>
      <c r="AJ41" s="1703"/>
      <c r="AK41" s="1702"/>
      <c r="AL41" s="1703"/>
      <c r="AM41" s="1726">
        <f t="shared" si="62"/>
        <v>0</v>
      </c>
      <c r="AN41" s="1730">
        <f t="shared" si="32"/>
        <v>0</v>
      </c>
      <c r="AO41" s="1697">
        <f t="shared" si="7"/>
        <v>0</v>
      </c>
      <c r="AP41" s="1698"/>
      <c r="AQ41" s="1699"/>
      <c r="AR41" s="1698"/>
      <c r="AS41" s="1699"/>
      <c r="AT41" s="1698"/>
      <c r="AU41" s="1699"/>
      <c r="AV41" s="1725">
        <f t="shared" si="63"/>
        <v>0</v>
      </c>
      <c r="AW41" s="1729">
        <f t="shared" si="33"/>
        <v>0</v>
      </c>
      <c r="AX41" s="1696">
        <f t="shared" si="8"/>
        <v>0</v>
      </c>
      <c r="AY41" s="1829"/>
      <c r="AZ41" s="2031">
        <f t="shared" si="9"/>
        <v>0</v>
      </c>
      <c r="BA41" s="1725">
        <f t="shared" si="58"/>
        <v>0</v>
      </c>
      <c r="BB41" s="1707">
        <f t="shared" si="54"/>
        <v>0</v>
      </c>
      <c r="BC41" s="1708">
        <f>E41-V41-AE41</f>
        <v>231300</v>
      </c>
      <c r="BD41" s="2052"/>
      <c r="BE41" s="2047"/>
      <c r="BF41" s="2046">
        <f t="shared" si="4"/>
        <v>0</v>
      </c>
    </row>
    <row r="42" spans="1:78" ht="19.5" customHeight="1" x14ac:dyDescent="0.35">
      <c r="A42" s="1693" t="s">
        <v>634</v>
      </c>
      <c r="B42" s="1694"/>
      <c r="C42" s="1694"/>
      <c r="D42" s="1695"/>
      <c r="E42" s="2155">
        <f>E44++E45+E46+E47+E60</f>
        <v>41664491</v>
      </c>
      <c r="F42" s="2156"/>
      <c r="G42" s="2119">
        <f>G48+G49+G52+G56+G57+G60</f>
        <v>10381224</v>
      </c>
      <c r="H42" s="2157"/>
      <c r="I42" s="2158"/>
      <c r="J42" s="2157"/>
      <c r="K42" s="2157"/>
      <c r="L42" s="2159"/>
      <c r="M42" s="2157"/>
      <c r="N42" s="2157"/>
      <c r="O42" s="2160">
        <f>O44+O46+O48+O49+O52+O56+O57+O60</f>
        <v>668260</v>
      </c>
      <c r="P42" s="2160" t="e">
        <f t="shared" ref="P42:AX42" si="65">P44+P46+P48+P49+P52+P56+P57+P60</f>
        <v>#REF!</v>
      </c>
      <c r="Q42" s="2160">
        <f t="shared" si="65"/>
        <v>667220</v>
      </c>
      <c r="R42" s="2160" t="e">
        <f t="shared" si="65"/>
        <v>#REF!</v>
      </c>
      <c r="S42" s="2160">
        <f t="shared" si="65"/>
        <v>984332</v>
      </c>
      <c r="T42" s="2160" t="e">
        <f t="shared" si="65"/>
        <v>#REF!</v>
      </c>
      <c r="U42" s="2160">
        <f t="shared" ca="1" si="65"/>
        <v>2741630</v>
      </c>
      <c r="V42" s="2160" t="e">
        <f t="shared" si="65"/>
        <v>#REF!</v>
      </c>
      <c r="W42" s="2160">
        <f t="shared" ca="1" si="65"/>
        <v>1094918</v>
      </c>
      <c r="X42" s="2157">
        <f t="shared" si="65"/>
        <v>720870</v>
      </c>
      <c r="Y42" s="2157" t="e">
        <f t="shared" si="65"/>
        <v>#REF!</v>
      </c>
      <c r="Z42" s="2157">
        <f t="shared" si="65"/>
        <v>1089960</v>
      </c>
      <c r="AA42" s="2157" t="e">
        <f t="shared" si="65"/>
        <v>#REF!</v>
      </c>
      <c r="AB42" s="2157">
        <f t="shared" si="65"/>
        <v>510460</v>
      </c>
      <c r="AC42" s="2157" t="e">
        <f t="shared" si="65"/>
        <v>#REF!</v>
      </c>
      <c r="AD42" s="2160">
        <f t="shared" si="65"/>
        <v>2321290</v>
      </c>
      <c r="AE42" s="2160" t="e">
        <f t="shared" si="65"/>
        <v>#REF!</v>
      </c>
      <c r="AF42" s="2160" t="e">
        <f t="shared" si="65"/>
        <v>#REF!</v>
      </c>
      <c r="AG42" s="2157">
        <f t="shared" si="65"/>
        <v>606325</v>
      </c>
      <c r="AH42" s="2157" t="e">
        <f t="shared" si="65"/>
        <v>#REF!</v>
      </c>
      <c r="AI42" s="2157">
        <f t="shared" si="65"/>
        <v>2824536</v>
      </c>
      <c r="AJ42" s="2157" t="e">
        <f t="shared" si="65"/>
        <v>#REF!</v>
      </c>
      <c r="AK42" s="2157">
        <f t="shared" si="65"/>
        <v>701885</v>
      </c>
      <c r="AL42" s="2157" t="e">
        <f t="shared" si="65"/>
        <v>#REF!</v>
      </c>
      <c r="AM42" s="2160">
        <f t="shared" si="65"/>
        <v>4132746</v>
      </c>
      <c r="AN42" s="2160" t="e">
        <f t="shared" si="65"/>
        <v>#REF!</v>
      </c>
      <c r="AO42" s="2160" t="e">
        <f t="shared" si="65"/>
        <v>#REF!</v>
      </c>
      <c r="AP42" s="1904">
        <f t="shared" si="65"/>
        <v>1882198</v>
      </c>
      <c r="AQ42" s="1904" t="e">
        <f t="shared" si="65"/>
        <v>#REF!</v>
      </c>
      <c r="AR42" s="1904">
        <f t="shared" si="65"/>
        <v>1173151</v>
      </c>
      <c r="AS42" s="1904" t="e">
        <f t="shared" si="65"/>
        <v>#REF!</v>
      </c>
      <c r="AT42" s="1904">
        <f t="shared" si="65"/>
        <v>689625</v>
      </c>
      <c r="AU42" s="1904" t="e">
        <f t="shared" si="65"/>
        <v>#REF!</v>
      </c>
      <c r="AV42" s="1898">
        <f t="shared" si="65"/>
        <v>3744974</v>
      </c>
      <c r="AW42" s="1899" t="e">
        <f t="shared" si="65"/>
        <v>#REF!</v>
      </c>
      <c r="AX42" s="1905" t="e">
        <f t="shared" si="65"/>
        <v>#REF!</v>
      </c>
      <c r="AY42" s="1906" t="e">
        <f>G42-V42-AE42</f>
        <v>#REF!</v>
      </c>
      <c r="AZ42" s="2034" t="e">
        <f t="shared" si="9"/>
        <v>#REF!</v>
      </c>
      <c r="BA42" s="1898">
        <f>BA43+BA46+BA48+BA49+BA52+BA56+BA57+BA60</f>
        <v>41554662</v>
      </c>
      <c r="BB42" s="1905" t="e">
        <f t="shared" si="54"/>
        <v>#REF!</v>
      </c>
      <c r="BC42" s="1905" t="e">
        <f>E42-AE42-BB42</f>
        <v>#REF!</v>
      </c>
      <c r="BD42" s="2053"/>
      <c r="BE42" s="2047"/>
      <c r="BF42" s="2046" t="e">
        <f t="shared" si="4"/>
        <v>#REF!</v>
      </c>
    </row>
    <row r="43" spans="1:78" ht="19.5" customHeight="1" x14ac:dyDescent="0.35">
      <c r="A43" s="1693"/>
      <c r="B43" s="1681" t="s">
        <v>709</v>
      </c>
      <c r="C43" s="1681"/>
      <c r="D43" s="1915"/>
      <c r="E43" s="2161">
        <f>SUM(E44:E45)</f>
        <v>8400000</v>
      </c>
      <c r="F43" s="2162">
        <f>SUM(F44:F45)</f>
        <v>4930000</v>
      </c>
      <c r="G43" s="2163"/>
      <c r="H43" s="2164">
        <f>SUM(H44:H45)</f>
        <v>4930000</v>
      </c>
      <c r="I43" s="2165"/>
      <c r="J43" s="2164"/>
      <c r="K43" s="2164"/>
      <c r="L43" s="2166"/>
      <c r="M43" s="2164"/>
      <c r="N43" s="2164"/>
      <c r="O43" s="2164">
        <f t="shared" ref="O43:T43" si="66">SUM(O44:O45)</f>
        <v>661500</v>
      </c>
      <c r="P43" s="2164">
        <f t="shared" si="66"/>
        <v>661500</v>
      </c>
      <c r="Q43" s="2164">
        <f t="shared" si="66"/>
        <v>661500</v>
      </c>
      <c r="R43" s="2164">
        <f t="shared" si="66"/>
        <v>661500</v>
      </c>
      <c r="S43" s="2164">
        <f t="shared" si="66"/>
        <v>661500</v>
      </c>
      <c r="T43" s="2164">
        <f t="shared" si="66"/>
        <v>661500</v>
      </c>
      <c r="U43" s="2167">
        <f t="shared" si="64"/>
        <v>1984500</v>
      </c>
      <c r="V43" s="2164">
        <f>SUM(V44:V45)</f>
        <v>1984500</v>
      </c>
      <c r="W43" s="2168">
        <f>U43-V43</f>
        <v>0</v>
      </c>
      <c r="X43" s="2164">
        <f t="shared" ref="X43:AC43" si="67">SUM(X44:X45)</f>
        <v>661500</v>
      </c>
      <c r="Y43" s="2164">
        <f t="shared" si="67"/>
        <v>661500</v>
      </c>
      <c r="Z43" s="2164">
        <f t="shared" si="67"/>
        <v>641500</v>
      </c>
      <c r="AA43" s="2164">
        <f t="shared" si="67"/>
        <v>641500</v>
      </c>
      <c r="AB43" s="2164">
        <f t="shared" si="67"/>
        <v>362285</v>
      </c>
      <c r="AC43" s="2164">
        <f t="shared" si="67"/>
        <v>362285</v>
      </c>
      <c r="AD43" s="2168">
        <f>SUM(X43+Z43+AB43)</f>
        <v>1665285</v>
      </c>
      <c r="AE43" s="2164">
        <f>SUM(AE44:AE45)</f>
        <v>1665285</v>
      </c>
      <c r="AF43" s="2168">
        <f>AD43-AE43</f>
        <v>0</v>
      </c>
      <c r="AG43" s="2164">
        <f t="shared" ref="AG43:AU43" si="68">SUM(AG44:AG45)</f>
        <v>494025</v>
      </c>
      <c r="AH43" s="2164">
        <f t="shared" si="68"/>
        <v>494025</v>
      </c>
      <c r="AI43" s="2164">
        <f t="shared" si="68"/>
        <v>2187825</v>
      </c>
      <c r="AJ43" s="2164">
        <f t="shared" si="68"/>
        <v>2187825</v>
      </c>
      <c r="AK43" s="2164">
        <f t="shared" si="68"/>
        <v>494025</v>
      </c>
      <c r="AL43" s="2164">
        <f t="shared" si="68"/>
        <v>494025</v>
      </c>
      <c r="AM43" s="2164">
        <f t="shared" si="68"/>
        <v>3175875</v>
      </c>
      <c r="AN43" s="2164">
        <f t="shared" si="68"/>
        <v>3175875</v>
      </c>
      <c r="AO43" s="2164">
        <f t="shared" si="68"/>
        <v>0</v>
      </c>
      <c r="AP43" s="1914">
        <f t="shared" si="68"/>
        <v>494025</v>
      </c>
      <c r="AQ43" s="1914">
        <f t="shared" si="68"/>
        <v>494025</v>
      </c>
      <c r="AR43" s="1914">
        <f t="shared" si="68"/>
        <v>494025</v>
      </c>
      <c r="AS43" s="1914">
        <f t="shared" si="68"/>
        <v>494025</v>
      </c>
      <c r="AT43" s="1914">
        <f t="shared" si="68"/>
        <v>494025</v>
      </c>
      <c r="AU43" s="1914">
        <f t="shared" si="68"/>
        <v>494025</v>
      </c>
      <c r="AV43" s="1914">
        <f>SUM(AV44:AV45)</f>
        <v>1482075</v>
      </c>
      <c r="AW43" s="1914"/>
      <c r="AX43" s="1914"/>
      <c r="AY43" s="1918">
        <f>H43-V43-AE43</f>
        <v>1280215</v>
      </c>
      <c r="AZ43" s="2030">
        <f t="shared" si="9"/>
        <v>-1895660</v>
      </c>
      <c r="BA43" s="1918">
        <f>G43+U43+AD43+AM43+AV43</f>
        <v>8307735</v>
      </c>
      <c r="BB43" s="1918">
        <f t="shared" si="54"/>
        <v>6825660</v>
      </c>
      <c r="BC43" s="1918">
        <f>E43-V43-AE43-AN43-AW43</f>
        <v>1574340</v>
      </c>
      <c r="BD43" s="2054"/>
      <c r="BE43" s="2047"/>
      <c r="BF43" s="2046">
        <f t="shared" si="4"/>
        <v>6825660</v>
      </c>
    </row>
    <row r="44" spans="1:78" ht="23.25" hidden="1" customHeight="1" x14ac:dyDescent="0.35">
      <c r="A44" s="1654"/>
      <c r="B44" s="1681" t="s">
        <v>708</v>
      </c>
      <c r="C44" s="1681"/>
      <c r="D44" s="1682"/>
      <c r="E44" s="2169">
        <f>3540000+500000+960000+3400000</f>
        <v>8400000</v>
      </c>
      <c r="F44" s="2170">
        <f>1770000+250000+480000</f>
        <v>2500000</v>
      </c>
      <c r="G44" s="2101"/>
      <c r="H44" s="2171">
        <f>F44-G44</f>
        <v>2500000</v>
      </c>
      <c r="I44" s="2128"/>
      <c r="J44" s="2171"/>
      <c r="K44" s="2171"/>
      <c r="L44" s="2116"/>
      <c r="M44" s="2171"/>
      <c r="N44" s="2171"/>
      <c r="O44" s="2104">
        <v>661500</v>
      </c>
      <c r="P44" s="2105">
        <f>'[9]1.รายการผูกพัน (สัญญาทั้งปี)'!$AP$4</f>
        <v>661500</v>
      </c>
      <c r="Q44" s="2104">
        <v>661500</v>
      </c>
      <c r="R44" s="2105">
        <f>'[9]1.รายการผูกพัน (สัญญาทั้งปี)'!$AP$5</f>
        <v>661500</v>
      </c>
      <c r="S44" s="2104">
        <v>661500</v>
      </c>
      <c r="T44" s="2105">
        <f>'[9]1.รายการผูกพัน (สัญญาทั้งปี)'!$AP$6</f>
        <v>661500</v>
      </c>
      <c r="U44" s="2064">
        <f ca="1">SUM(U43:U45)</f>
        <v>0</v>
      </c>
      <c r="V44" s="2065">
        <f>SUM(P44+R44+T44)</f>
        <v>1984500</v>
      </c>
      <c r="W44" s="2066">
        <f ca="1">U44-V44</f>
        <v>661500</v>
      </c>
      <c r="X44" s="2104">
        <v>661500</v>
      </c>
      <c r="Y44" s="2105">
        <f>'[9]1.รายการผูกพัน (สัญญาทั้งปี)'!$AP$7</f>
        <v>661500</v>
      </c>
      <c r="Z44" s="2104">
        <v>641500</v>
      </c>
      <c r="AA44" s="2105">
        <f>'[9]1.รายการผูกพัน (สัญญาทั้งปี)'!$AP$8</f>
        <v>641500</v>
      </c>
      <c r="AB44" s="2104">
        <v>362285</v>
      </c>
      <c r="AC44" s="2105">
        <f>'[9]1.รายการผูกพัน (สัญญาทั้งปี)'!$AP$9</f>
        <v>362285</v>
      </c>
      <c r="AD44" s="2064">
        <f>SUM(X44+Z44+AB44)</f>
        <v>1665285</v>
      </c>
      <c r="AE44" s="2065">
        <f>SUM(Y44+AA44+AC44)</f>
        <v>1665285</v>
      </c>
      <c r="AF44" s="2066">
        <f>AD44-AE44</f>
        <v>0</v>
      </c>
      <c r="AG44" s="2104">
        <v>494025</v>
      </c>
      <c r="AH44" s="2105">
        <f>'[9]1.รายการผูกพัน (สัญญาทั้งปี)'!$AP$10</f>
        <v>494025</v>
      </c>
      <c r="AI44" s="2104">
        <v>2187825</v>
      </c>
      <c r="AJ44" s="2105">
        <f>'[9]1.รายการผูกพัน (สัญญาทั้งปี)'!$AP$11</f>
        <v>2187825</v>
      </c>
      <c r="AK44" s="2104">
        <v>494025</v>
      </c>
      <c r="AL44" s="2105">
        <f>'[9]1.รายการผูกพัน (สัญญาทั้งปี)'!$AP$12</f>
        <v>494025</v>
      </c>
      <c r="AM44" s="2064">
        <f t="shared" si="62"/>
        <v>3175875</v>
      </c>
      <c r="AN44" s="2065">
        <f t="shared" si="32"/>
        <v>3175875</v>
      </c>
      <c r="AO44" s="2066">
        <f t="shared" si="7"/>
        <v>0</v>
      </c>
      <c r="AP44" s="1710">
        <v>494025</v>
      </c>
      <c r="AQ44" s="1711">
        <f>'[9]1.รายการผูกพัน (สัญญาทั้งปี)'!$AP$13</f>
        <v>494025</v>
      </c>
      <c r="AR44" s="1710">
        <v>494025</v>
      </c>
      <c r="AS44" s="1711">
        <f>'[9]1.รายการผูกพัน (สัญญาทั้งปี)'!$AP$14</f>
        <v>494025</v>
      </c>
      <c r="AT44" s="1710">
        <v>494025</v>
      </c>
      <c r="AU44" s="1711">
        <f>'[9]1.รายการผูกพัน (สัญญาทั้งปี)'!$AP$15</f>
        <v>494025</v>
      </c>
      <c r="AV44" s="1724">
        <f t="shared" si="63"/>
        <v>1482075</v>
      </c>
      <c r="AW44" s="1728">
        <f t="shared" si="33"/>
        <v>1482075</v>
      </c>
      <c r="AX44" s="1712">
        <f t="shared" si="8"/>
        <v>0</v>
      </c>
      <c r="AY44" s="1786">
        <f>H44-V44-AE44</f>
        <v>-1149785</v>
      </c>
      <c r="AZ44" s="2031">
        <f t="shared" si="9"/>
        <v>-4325660</v>
      </c>
      <c r="BA44" s="1724">
        <f ca="1">G44+U44+AD44+AM44+AV44</f>
        <v>6961500</v>
      </c>
      <c r="BB44" s="1722">
        <f t="shared" si="54"/>
        <v>8307735</v>
      </c>
      <c r="BC44" s="1722">
        <f>E44-V44-AE44</f>
        <v>4750215</v>
      </c>
      <c r="BD44" s="2055"/>
      <c r="BE44" s="2047">
        <f t="shared" si="11"/>
        <v>4750215</v>
      </c>
      <c r="BF44" s="2046">
        <f t="shared" si="4"/>
        <v>8307735</v>
      </c>
    </row>
    <row r="45" spans="1:78" ht="23.25" hidden="1" customHeight="1" x14ac:dyDescent="0.35">
      <c r="A45" s="1654"/>
      <c r="B45" s="1681" t="s">
        <v>707</v>
      </c>
      <c r="C45" s="1681"/>
      <c r="D45" s="1682"/>
      <c r="E45" s="2172"/>
      <c r="F45" s="2170">
        <f>2430000</f>
        <v>2430000</v>
      </c>
      <c r="G45" s="2101"/>
      <c r="H45" s="2171">
        <f>F45-G45</f>
        <v>2430000</v>
      </c>
      <c r="I45" s="2128"/>
      <c r="J45" s="2171"/>
      <c r="K45" s="2171"/>
      <c r="L45" s="2116"/>
      <c r="M45" s="2171"/>
      <c r="N45" s="2171"/>
      <c r="O45" s="2104"/>
      <c r="P45" s="2105"/>
      <c r="Q45" s="2104"/>
      <c r="R45" s="2105"/>
      <c r="S45" s="2104"/>
      <c r="T45" s="2105"/>
      <c r="U45" s="2064"/>
      <c r="V45" s="2065"/>
      <c r="W45" s="2066"/>
      <c r="X45" s="2104"/>
      <c r="Y45" s="2105"/>
      <c r="Z45" s="2104"/>
      <c r="AA45" s="2105"/>
      <c r="AB45" s="2104"/>
      <c r="AC45" s="2105"/>
      <c r="AD45" s="2064">
        <f>SUM(X45+Z45+AB45)</f>
        <v>0</v>
      </c>
      <c r="AE45" s="2065"/>
      <c r="AF45" s="2066"/>
      <c r="AG45" s="2104"/>
      <c r="AH45" s="2105"/>
      <c r="AI45" s="2104"/>
      <c r="AJ45" s="2105"/>
      <c r="AK45" s="2104"/>
      <c r="AL45" s="2105"/>
      <c r="AM45" s="2064"/>
      <c r="AN45" s="2065"/>
      <c r="AO45" s="2066"/>
      <c r="AP45" s="1710"/>
      <c r="AQ45" s="1711"/>
      <c r="AR45" s="1710"/>
      <c r="AS45" s="1711"/>
      <c r="AT45" s="1710"/>
      <c r="AU45" s="1711"/>
      <c r="AV45" s="1724"/>
      <c r="AW45" s="1728"/>
      <c r="AX45" s="1712"/>
      <c r="AY45" s="1786">
        <f>H45-V45-AE45</f>
        <v>2430000</v>
      </c>
      <c r="AZ45" s="2031">
        <f t="shared" si="9"/>
        <v>2430000</v>
      </c>
      <c r="BA45" s="1724">
        <f>G45+U45+AD45+AM45+AV45</f>
        <v>0</v>
      </c>
      <c r="BB45" s="1722">
        <f t="shared" si="54"/>
        <v>0</v>
      </c>
      <c r="BC45" s="1722">
        <f>E45-V45-AE45</f>
        <v>0</v>
      </c>
      <c r="BD45" s="2055"/>
      <c r="BE45" s="2047">
        <f t="shared" si="11"/>
        <v>0</v>
      </c>
      <c r="BF45" s="2046">
        <f t="shared" si="4"/>
        <v>0</v>
      </c>
    </row>
    <row r="46" spans="1:78" ht="35.25" customHeight="1" x14ac:dyDescent="0.35">
      <c r="A46" s="1654"/>
      <c r="B46" s="3344" t="s">
        <v>666</v>
      </c>
      <c r="C46" s="3344"/>
      <c r="D46" s="3345"/>
      <c r="E46" s="2172">
        <f>2300000-46000</f>
        <v>2254000</v>
      </c>
      <c r="F46" s="2173">
        <v>1063900</v>
      </c>
      <c r="G46" s="1884"/>
      <c r="H46" s="2174">
        <f>F46-G46</f>
        <v>1063900</v>
      </c>
      <c r="I46" s="1697">
        <f>200000-46000</f>
        <v>154000</v>
      </c>
      <c r="J46" s="2175">
        <v>0</v>
      </c>
      <c r="K46" s="2174">
        <f t="shared" ref="K46:K63" si="69">I46-J46</f>
        <v>154000</v>
      </c>
      <c r="L46" s="2176">
        <v>1036100</v>
      </c>
      <c r="M46" s="1873">
        <v>0</v>
      </c>
      <c r="N46" s="1873">
        <f>L46-M46</f>
        <v>1036100</v>
      </c>
      <c r="O46" s="1702">
        <v>0</v>
      </c>
      <c r="P46" s="1703">
        <f>'[13]16.โครงการ รายเดือน'!$DX$20</f>
        <v>0</v>
      </c>
      <c r="Q46" s="1702">
        <v>0</v>
      </c>
      <c r="R46" s="1703">
        <f>'[13]16.โครงการ รายเดือน'!$DZ$20</f>
        <v>0</v>
      </c>
      <c r="S46" s="1702">
        <v>0</v>
      </c>
      <c r="T46" s="1703">
        <f>'[13]16.โครงการ รายเดือน'!$EB$20</f>
        <v>0</v>
      </c>
      <c r="U46" s="1726">
        <f t="shared" si="64"/>
        <v>0</v>
      </c>
      <c r="V46" s="1730">
        <f t="shared" si="19"/>
        <v>0</v>
      </c>
      <c r="W46" s="1697">
        <f t="shared" si="20"/>
        <v>0</v>
      </c>
      <c r="X46" s="1702">
        <v>0</v>
      </c>
      <c r="Y46" s="1703">
        <f>'[13]16.โครงการ รายเดือน'!$ED$20</f>
        <v>0</v>
      </c>
      <c r="Z46" s="1702">
        <f>[21]สภท!$F$183</f>
        <v>300000</v>
      </c>
      <c r="AA46" s="1703">
        <f>'[13]16.โครงการ รายเดือน'!$EF$20</f>
        <v>30000</v>
      </c>
      <c r="AB46" s="1702">
        <f>[21]สภท!$G$183</f>
        <v>82150</v>
      </c>
      <c r="AC46" s="1703">
        <f>'[13]16.โครงการ รายเดือน'!$EH$20</f>
        <v>264800.8</v>
      </c>
      <c r="AD46" s="1726">
        <f t="shared" si="21"/>
        <v>382150</v>
      </c>
      <c r="AE46" s="1730">
        <f t="shared" si="6"/>
        <v>294800.8</v>
      </c>
      <c r="AF46" s="1697">
        <f t="shared" si="25"/>
        <v>87349.200000000012</v>
      </c>
      <c r="AG46" s="1702">
        <f>[21]สภท!$H$183</f>
        <v>100000</v>
      </c>
      <c r="AH46" s="1703">
        <f>'[13]16.โครงการ รายเดือน'!$EJ$20</f>
        <v>51930</v>
      </c>
      <c r="AI46" s="1702">
        <f>[21]สภท!$I$183-46000</f>
        <v>608750</v>
      </c>
      <c r="AJ46" s="1703">
        <f>'[13]16.โครงการ รายเดือน'!$EL$20</f>
        <v>238551.9</v>
      </c>
      <c r="AK46" s="1702">
        <f>[22]ประยุกต์!$C$15</f>
        <v>127000</v>
      </c>
      <c r="AL46" s="1703">
        <f>'[13]16.โครงการ รายเดือน'!$EN$20</f>
        <v>562208.19999999995</v>
      </c>
      <c r="AM46" s="1726">
        <f t="shared" si="62"/>
        <v>835750</v>
      </c>
      <c r="AN46" s="1730">
        <f t="shared" si="32"/>
        <v>852690.1</v>
      </c>
      <c r="AO46" s="1697">
        <f t="shared" si="7"/>
        <v>-16940.099999999977</v>
      </c>
      <c r="AP46" s="1698">
        <f>[22]ประยุกต์!$D$15</f>
        <v>487000</v>
      </c>
      <c r="AQ46" s="1699">
        <f>'[13]16.โครงการ รายเดือน'!$EP$20</f>
        <v>451026</v>
      </c>
      <c r="AR46" s="1698">
        <f>[22]ประยุกต์!$E$15</f>
        <v>473000</v>
      </c>
      <c r="AS46" s="1699">
        <f>'[13]16.โครงการ รายเดือน'!$ER$20</f>
        <v>0</v>
      </c>
      <c r="AT46" s="1698">
        <f>[22]ประยุกต์!$F$15</f>
        <v>76100</v>
      </c>
      <c r="AU46" s="1699">
        <f>'[13]16.โครงการ รายเดือน'!$ET$20</f>
        <v>0</v>
      </c>
      <c r="AV46" s="1725">
        <f t="shared" si="63"/>
        <v>1036100</v>
      </c>
      <c r="AW46" s="1729">
        <f t="shared" si="33"/>
        <v>451026</v>
      </c>
      <c r="AX46" s="1696">
        <f t="shared" si="8"/>
        <v>585074</v>
      </c>
      <c r="AY46" s="1829">
        <f>H46-V46-AE46</f>
        <v>769099.2</v>
      </c>
      <c r="AZ46" s="2031">
        <f>K46-AN46+AY46</f>
        <v>70409.099999999977</v>
      </c>
      <c r="BA46" s="1724">
        <f>U46+AD46+AM46+AV46</f>
        <v>2254000</v>
      </c>
      <c r="BB46" s="1709">
        <f>G46+V46+AE46+AN46+AW46+J46+M46</f>
        <v>1598516.9</v>
      </c>
      <c r="BC46" s="1709">
        <f>E46-BB46</f>
        <v>655483.10000000009</v>
      </c>
      <c r="BD46" s="2055">
        <f>BA46-BB46</f>
        <v>655483.10000000009</v>
      </c>
      <c r="BE46" s="2047">
        <f t="shared" si="11"/>
        <v>0</v>
      </c>
      <c r="BF46" s="2046">
        <f t="shared" si="4"/>
        <v>1598516.9</v>
      </c>
    </row>
    <row r="47" spans="1:78" ht="33" customHeight="1" x14ac:dyDescent="0.35">
      <c r="A47" s="1652"/>
      <c r="B47" s="3344" t="s">
        <v>667</v>
      </c>
      <c r="C47" s="3344"/>
      <c r="D47" s="3345"/>
      <c r="E47" s="2172">
        <f>E48+E49+E52+E56+E57</f>
        <v>20307491</v>
      </c>
      <c r="F47" s="2177"/>
      <c r="G47" s="1884"/>
      <c r="H47" s="1873"/>
      <c r="I47" s="1926"/>
      <c r="J47" s="2175"/>
      <c r="K47" s="1873">
        <f t="shared" si="69"/>
        <v>0</v>
      </c>
      <c r="L47" s="2042"/>
      <c r="M47" s="1873"/>
      <c r="N47" s="1873"/>
      <c r="O47" s="1702"/>
      <c r="P47" s="1703"/>
      <c r="Q47" s="1702"/>
      <c r="R47" s="1703"/>
      <c r="S47" s="1702"/>
      <c r="T47" s="1703"/>
      <c r="U47" s="1726">
        <f t="shared" si="64"/>
        <v>0</v>
      </c>
      <c r="V47" s="1730">
        <f t="shared" si="19"/>
        <v>0</v>
      </c>
      <c r="W47" s="1697">
        <f t="shared" si="20"/>
        <v>0</v>
      </c>
      <c r="X47" s="1702"/>
      <c r="Y47" s="1703"/>
      <c r="Z47" s="1702"/>
      <c r="AA47" s="1703"/>
      <c r="AB47" s="1702"/>
      <c r="AC47" s="1703"/>
      <c r="AD47" s="1726">
        <f t="shared" si="21"/>
        <v>0</v>
      </c>
      <c r="AE47" s="1730">
        <f t="shared" si="6"/>
        <v>0</v>
      </c>
      <c r="AF47" s="1697">
        <f t="shared" si="25"/>
        <v>0</v>
      </c>
      <c r="AG47" s="1702"/>
      <c r="AH47" s="1703"/>
      <c r="AI47" s="1702"/>
      <c r="AJ47" s="1703"/>
      <c r="AK47" s="1702"/>
      <c r="AL47" s="1703"/>
      <c r="AM47" s="1726">
        <f t="shared" si="62"/>
        <v>0</v>
      </c>
      <c r="AN47" s="1730">
        <f t="shared" si="32"/>
        <v>0</v>
      </c>
      <c r="AO47" s="1697">
        <f t="shared" si="7"/>
        <v>0</v>
      </c>
      <c r="AP47" s="1698"/>
      <c r="AQ47" s="1699"/>
      <c r="AR47" s="1698"/>
      <c r="AS47" s="1699"/>
      <c r="AT47" s="1698"/>
      <c r="AU47" s="1699"/>
      <c r="AV47" s="1725">
        <f t="shared" si="63"/>
        <v>0</v>
      </c>
      <c r="AW47" s="1729">
        <f t="shared" si="33"/>
        <v>0</v>
      </c>
      <c r="AX47" s="1696">
        <f t="shared" si="8"/>
        <v>0</v>
      </c>
      <c r="AY47" s="1829"/>
      <c r="AZ47" s="2031">
        <f t="shared" si="9"/>
        <v>0</v>
      </c>
      <c r="BA47" s="1725">
        <f>G47+U47+AD47+AM47+AV47</f>
        <v>0</v>
      </c>
      <c r="BB47" s="1709">
        <f>G47+V47+AE47+AN47+AW47</f>
        <v>0</v>
      </c>
      <c r="BC47" s="1709" t="e">
        <f>BC48+BC49+BC52+BC56+BC57</f>
        <v>#REF!</v>
      </c>
      <c r="BD47" s="2055"/>
      <c r="BE47" s="2047"/>
      <c r="BF47" s="2046">
        <f t="shared" si="4"/>
        <v>0</v>
      </c>
      <c r="BG47" s="1734" t="s">
        <v>671</v>
      </c>
    </row>
    <row r="48" spans="1:78" s="1618" customFormat="1" ht="30" customHeight="1" x14ac:dyDescent="0.35">
      <c r="A48" s="1654"/>
      <c r="B48" s="1681"/>
      <c r="C48" s="3342" t="s">
        <v>640</v>
      </c>
      <c r="D48" s="3343"/>
      <c r="E48" s="2172">
        <v>1500000</v>
      </c>
      <c r="F48" s="2177">
        <v>1402300</v>
      </c>
      <c r="G48" s="2178">
        <v>1123500</v>
      </c>
      <c r="H48" s="2179">
        <f>F48-G48</f>
        <v>278800</v>
      </c>
      <c r="I48" s="1697">
        <v>0</v>
      </c>
      <c r="J48" s="2180">
        <v>0</v>
      </c>
      <c r="K48" s="2179">
        <f t="shared" si="69"/>
        <v>0</v>
      </c>
      <c r="L48" s="2181">
        <v>97700</v>
      </c>
      <c r="M48" s="2179">
        <v>0</v>
      </c>
      <c r="N48" s="2179">
        <f>L48-M48</f>
        <v>97700</v>
      </c>
      <c r="O48" s="2182">
        <v>6760</v>
      </c>
      <c r="P48" s="2183" t="e">
        <f>#REF!</f>
        <v>#REF!</v>
      </c>
      <c r="Q48" s="2182">
        <v>0</v>
      </c>
      <c r="R48" s="2183" t="e">
        <f>#REF!</f>
        <v>#REF!</v>
      </c>
      <c r="S48" s="2182">
        <v>252212</v>
      </c>
      <c r="T48" s="2183" t="e">
        <f>#REF!</f>
        <v>#REF!</v>
      </c>
      <c r="U48" s="1726">
        <f t="shared" si="64"/>
        <v>258972</v>
      </c>
      <c r="V48" s="1730" t="e">
        <f t="shared" si="19"/>
        <v>#REF!</v>
      </c>
      <c r="W48" s="1697" t="e">
        <f t="shared" si="20"/>
        <v>#REF!</v>
      </c>
      <c r="X48" s="2182"/>
      <c r="Y48" s="2183" t="e">
        <f>#REF!</f>
        <v>#REF!</v>
      </c>
      <c r="Z48" s="2182">
        <v>17550</v>
      </c>
      <c r="AA48" s="2183" t="e">
        <f>#REF!</f>
        <v>#REF!</v>
      </c>
      <c r="AB48" s="2182"/>
      <c r="AC48" s="2183" t="e">
        <f>#REF!</f>
        <v>#REF!</v>
      </c>
      <c r="AD48" s="1726">
        <f>SUM(X48+Z48+AB48)</f>
        <v>17550</v>
      </c>
      <c r="AE48" s="1730" t="e">
        <f t="shared" si="6"/>
        <v>#REF!</v>
      </c>
      <c r="AF48" s="1697" t="e">
        <f t="shared" si="25"/>
        <v>#REF!</v>
      </c>
      <c r="AG48" s="2182"/>
      <c r="AH48" s="2183" t="e">
        <f>#REF!</f>
        <v>#REF!</v>
      </c>
      <c r="AI48" s="2182"/>
      <c r="AJ48" s="2183" t="e">
        <f>#REF!</f>
        <v>#REF!</v>
      </c>
      <c r="AK48" s="2182"/>
      <c r="AL48" s="2183" t="e">
        <f>#REF!</f>
        <v>#REF!</v>
      </c>
      <c r="AM48" s="1726">
        <f>SUM(AG48+AI48+AK48)</f>
        <v>0</v>
      </c>
      <c r="AN48" s="1730" t="e">
        <f t="shared" si="32"/>
        <v>#REF!</v>
      </c>
      <c r="AO48" s="1697" t="e">
        <f t="shared" si="7"/>
        <v>#REF!</v>
      </c>
      <c r="AP48" s="1815">
        <f>'[19]ยุทธฯ จัดทำสารสนเทศฯ'!$M$20</f>
        <v>50000</v>
      </c>
      <c r="AQ48" s="1816" t="e">
        <f>#REF!</f>
        <v>#REF!</v>
      </c>
      <c r="AR48" s="1815">
        <f>'[19]ยุทธฯ จัดทำสารสนเทศฯ'!$N$20</f>
        <v>47697</v>
      </c>
      <c r="AS48" s="1816" t="e">
        <f>#REF!</f>
        <v>#REF!</v>
      </c>
      <c r="AT48" s="1815"/>
      <c r="AU48" s="1816" t="e">
        <f>#REF!</f>
        <v>#REF!</v>
      </c>
      <c r="AV48" s="1725">
        <f t="shared" si="63"/>
        <v>97697</v>
      </c>
      <c r="AW48" s="1729" t="e">
        <f t="shared" si="33"/>
        <v>#REF!</v>
      </c>
      <c r="AX48" s="1696" t="e">
        <f t="shared" si="8"/>
        <v>#REF!</v>
      </c>
      <c r="AY48" s="1829" t="e">
        <f t="shared" ref="AY48:AY63" si="70">H48-V48-AE48</f>
        <v>#REF!</v>
      </c>
      <c r="AZ48" s="2031" t="e">
        <f>K48-AN48+AY48</f>
        <v>#REF!</v>
      </c>
      <c r="BA48" s="1725">
        <f>G48+U48+AD48+AM48+AV48+M48</f>
        <v>1497719</v>
      </c>
      <c r="BB48" s="1709" t="e">
        <f>G48+V48+AE48+AN48+AW48+M48</f>
        <v>#REF!</v>
      </c>
      <c r="BC48" s="1709" t="e">
        <f t="shared" ref="BC48:BC55" si="71">E48-BB48</f>
        <v>#REF!</v>
      </c>
      <c r="BD48" s="2055" t="e">
        <f t="shared" ref="BD48:BD60" si="72">BA48-BB48</f>
        <v>#REF!</v>
      </c>
      <c r="BE48" s="2047" t="e">
        <f t="shared" si="11"/>
        <v>#REF!</v>
      </c>
      <c r="BF48" s="2046" t="e">
        <f t="shared" si="4"/>
        <v>#REF!</v>
      </c>
      <c r="BG48" s="1774"/>
      <c r="BH48" s="385"/>
      <c r="BI48" s="385"/>
      <c r="BJ48" s="385"/>
      <c r="BK48" s="385"/>
      <c r="BL48" s="385"/>
      <c r="BM48" s="1817"/>
      <c r="BN48" s="1817"/>
      <c r="BO48" s="1817"/>
      <c r="BP48" s="1817"/>
      <c r="BQ48" s="1817"/>
      <c r="BR48" s="1817"/>
      <c r="BS48" s="1817"/>
      <c r="BT48" s="1817"/>
      <c r="BU48" s="1817"/>
      <c r="BV48" s="1817"/>
      <c r="BW48" s="1817"/>
      <c r="BX48" s="1817"/>
      <c r="BY48" s="1817"/>
      <c r="BZ48" s="1817"/>
    </row>
    <row r="49" spans="1:78" s="1618" customFormat="1" ht="37.5" customHeight="1" x14ac:dyDescent="0.35">
      <c r="A49" s="1654"/>
      <c r="B49" s="1681"/>
      <c r="C49" s="3342" t="s">
        <v>636</v>
      </c>
      <c r="D49" s="3343"/>
      <c r="E49" s="2172">
        <v>4000000</v>
      </c>
      <c r="F49" s="2177">
        <f>SUM(F50:F51)</f>
        <v>2730400</v>
      </c>
      <c r="G49" s="2178">
        <f>SUM(G50:G51)</f>
        <v>2717200</v>
      </c>
      <c r="H49" s="2179">
        <f>F49-G49</f>
        <v>13200</v>
      </c>
      <c r="I49" s="1697">
        <f>SUM(I50:I51)</f>
        <v>677900</v>
      </c>
      <c r="J49" s="2180">
        <f>SUM(J50:J51)</f>
        <v>677832</v>
      </c>
      <c r="K49" s="2151">
        <f t="shared" si="69"/>
        <v>68</v>
      </c>
      <c r="L49" s="2181">
        <f>SUM(L50:L51)</f>
        <v>591700</v>
      </c>
      <c r="M49" s="2179">
        <f>SUM(M50:M51)</f>
        <v>462624</v>
      </c>
      <c r="N49" s="2179">
        <f>L49-M49</f>
        <v>129076</v>
      </c>
      <c r="O49" s="2182"/>
      <c r="P49" s="2183"/>
      <c r="Q49" s="2182"/>
      <c r="R49" s="2183"/>
      <c r="S49" s="2182">
        <v>11600</v>
      </c>
      <c r="T49" s="2183"/>
      <c r="U49" s="1726">
        <f t="shared" si="64"/>
        <v>11600</v>
      </c>
      <c r="V49" s="1730" t="e">
        <f>SUM(V50:V51)</f>
        <v>#REF!</v>
      </c>
      <c r="W49" s="1697" t="e">
        <f t="shared" si="20"/>
        <v>#REF!</v>
      </c>
      <c r="X49" s="2182"/>
      <c r="Y49" s="2183"/>
      <c r="Z49" s="2182"/>
      <c r="AA49" s="2183"/>
      <c r="AB49" s="2182"/>
      <c r="AC49" s="2183"/>
      <c r="AD49" s="1726">
        <f t="shared" si="21"/>
        <v>0</v>
      </c>
      <c r="AE49" s="1730">
        <f t="shared" si="6"/>
        <v>0</v>
      </c>
      <c r="AF49" s="1697">
        <f t="shared" si="25"/>
        <v>0</v>
      </c>
      <c r="AG49" s="2182"/>
      <c r="AH49" s="2183"/>
      <c r="AI49" s="2182"/>
      <c r="AJ49" s="2183"/>
      <c r="AK49" s="2182"/>
      <c r="AL49" s="2183"/>
      <c r="AM49" s="1726">
        <f t="shared" si="62"/>
        <v>0</v>
      </c>
      <c r="AN49" s="1730" t="e">
        <f>SUM(AN50:AN51)</f>
        <v>#REF!</v>
      </c>
      <c r="AO49" s="1697" t="e">
        <f t="shared" si="7"/>
        <v>#REF!</v>
      </c>
      <c r="AP49" s="1815">
        <f>SUM(AP50:AP51)</f>
        <v>33468</v>
      </c>
      <c r="AQ49" s="1816"/>
      <c r="AR49" s="1815">
        <f>SUM(AR50:AR51)</f>
        <v>60676</v>
      </c>
      <c r="AS49" s="1816"/>
      <c r="AT49" s="1815">
        <f>SUM(AT50:AT51)</f>
        <v>35000</v>
      </c>
      <c r="AU49" s="1816"/>
      <c r="AV49" s="1725">
        <f>SUM(AP49+AR49+AT49)</f>
        <v>129144</v>
      </c>
      <c r="AW49" s="1729">
        <f t="shared" si="33"/>
        <v>0</v>
      </c>
      <c r="AX49" s="1696">
        <f t="shared" si="8"/>
        <v>129144</v>
      </c>
      <c r="AY49" s="1829" t="e">
        <f t="shared" si="70"/>
        <v>#REF!</v>
      </c>
      <c r="AZ49" s="2031" t="e">
        <f t="shared" si="9"/>
        <v>#REF!</v>
      </c>
      <c r="BA49" s="1725">
        <f>U49+AD49+AM49+AV49+G49+J49+M49</f>
        <v>3998400</v>
      </c>
      <c r="BB49" s="1709" t="e">
        <f>G49+J49+V49+AE49+AN49+AW49+M49</f>
        <v>#REF!</v>
      </c>
      <c r="BC49" s="2215" t="e">
        <f t="shared" si="71"/>
        <v>#REF!</v>
      </c>
      <c r="BD49" s="2055" t="e">
        <f t="shared" si="72"/>
        <v>#REF!</v>
      </c>
      <c r="BE49" s="2047" t="e">
        <f t="shared" si="11"/>
        <v>#REF!</v>
      </c>
      <c r="BF49" s="2046" t="e">
        <f t="shared" si="4"/>
        <v>#REF!</v>
      </c>
      <c r="BG49" s="1826" t="s">
        <v>672</v>
      </c>
      <c r="BH49" s="1639"/>
      <c r="BI49" s="1639"/>
      <c r="BJ49" s="1639"/>
      <c r="BK49" s="1639"/>
      <c r="BL49" s="1639"/>
      <c r="BM49" s="1817"/>
      <c r="BN49" s="1817"/>
      <c r="BO49" s="1817"/>
      <c r="BP49" s="1817"/>
      <c r="BQ49" s="1817"/>
      <c r="BR49" s="1817"/>
      <c r="BS49" s="1817"/>
      <c r="BT49" s="1817"/>
      <c r="BU49" s="1817"/>
      <c r="BV49" s="1817"/>
      <c r="BW49" s="1817"/>
      <c r="BX49" s="1817"/>
      <c r="BY49" s="1817"/>
      <c r="BZ49" s="1817"/>
    </row>
    <row r="50" spans="1:78" ht="20.25" customHeight="1" x14ac:dyDescent="0.35">
      <c r="A50" s="1652"/>
      <c r="B50" s="1683"/>
      <c r="C50" s="1683"/>
      <c r="D50" s="1818" t="s">
        <v>635</v>
      </c>
      <c r="E50" s="2184">
        <v>2000000</v>
      </c>
      <c r="F50" s="2185">
        <f>1256132+6608</f>
        <v>1262740</v>
      </c>
      <c r="G50" s="1884">
        <f>1249524+16</f>
        <v>1249540</v>
      </c>
      <c r="H50" s="2151">
        <f>F50-G50</f>
        <v>13200</v>
      </c>
      <c r="I50" s="1926">
        <v>288400</v>
      </c>
      <c r="J50" s="2175">
        <v>288408</v>
      </c>
      <c r="K50" s="2151">
        <f t="shared" si="69"/>
        <v>-8</v>
      </c>
      <c r="L50" s="2042">
        <f>448860+6532</f>
        <v>455392</v>
      </c>
      <c r="M50" s="2151">
        <v>390888</v>
      </c>
      <c r="N50" s="2151">
        <f>L50-M50</f>
        <v>64504</v>
      </c>
      <c r="O50" s="1702"/>
      <c r="P50" s="1703" t="e">
        <f>#REF!</f>
        <v>#REF!</v>
      </c>
      <c r="Q50" s="1702">
        <v>0</v>
      </c>
      <c r="R50" s="1703" t="e">
        <f>#REF!</f>
        <v>#REF!</v>
      </c>
      <c r="S50" s="1702">
        <f>11600-5800</f>
        <v>5800</v>
      </c>
      <c r="T50" s="1703" t="e">
        <f>#REF!-5800</f>
        <v>#REF!</v>
      </c>
      <c r="U50" s="2148">
        <f t="shared" si="64"/>
        <v>5800</v>
      </c>
      <c r="V50" s="2149" t="e">
        <f t="shared" si="19"/>
        <v>#REF!</v>
      </c>
      <c r="W50" s="1926" t="e">
        <f t="shared" si="20"/>
        <v>#REF!</v>
      </c>
      <c r="X50" s="1702">
        <v>0</v>
      </c>
      <c r="Y50" s="1703" t="e">
        <f>#REF!</f>
        <v>#REF!</v>
      </c>
      <c r="Z50" s="1702">
        <v>0</v>
      </c>
      <c r="AA50" s="1703" t="e">
        <f>#REF!</f>
        <v>#REF!</v>
      </c>
      <c r="AB50" s="1702"/>
      <c r="AC50" s="1703" t="e">
        <f>#REF!</f>
        <v>#REF!</v>
      </c>
      <c r="AD50" s="2148">
        <f>SUM(X50+Z50+AB50)</f>
        <v>0</v>
      </c>
      <c r="AE50" s="2149" t="e">
        <f t="shared" si="6"/>
        <v>#REF!</v>
      </c>
      <c r="AF50" s="1926" t="e">
        <f t="shared" si="25"/>
        <v>#REF!</v>
      </c>
      <c r="AG50" s="1702"/>
      <c r="AH50" s="1703" t="e">
        <f>#REF!</f>
        <v>#REF!</v>
      </c>
      <c r="AI50" s="1702">
        <v>0</v>
      </c>
      <c r="AJ50" s="1703" t="e">
        <f>#REF!</f>
        <v>#REF!</v>
      </c>
      <c r="AK50" s="1702">
        <v>0</v>
      </c>
      <c r="AL50" s="1703" t="e">
        <f>#REF!</f>
        <v>#REF!</v>
      </c>
      <c r="AM50" s="2148"/>
      <c r="AN50" s="2149" t="e">
        <f t="shared" si="32"/>
        <v>#REF!</v>
      </c>
      <c r="AO50" s="1926" t="e">
        <f t="shared" si="7"/>
        <v>#REF!</v>
      </c>
      <c r="AP50" s="1698"/>
      <c r="AQ50" s="1699" t="e">
        <f>#REF!</f>
        <v>#REF!</v>
      </c>
      <c r="AR50" s="1698">
        <f>[21]สพร.!$L$31</f>
        <v>29572</v>
      </c>
      <c r="AS50" s="1699" t="e">
        <f>#REF!</f>
        <v>#REF!</v>
      </c>
      <c r="AT50" s="1698">
        <f>[21]สพร.!$M$31</f>
        <v>35000</v>
      </c>
      <c r="AU50" s="1699" t="e">
        <f>#REF!</f>
        <v>#REF!</v>
      </c>
      <c r="AV50" s="1794">
        <f>SUM(AP50+AR50+AT50)</f>
        <v>64572</v>
      </c>
      <c r="AW50" s="1795" t="e">
        <f t="shared" si="33"/>
        <v>#REF!</v>
      </c>
      <c r="AX50" s="1796" t="e">
        <f t="shared" si="8"/>
        <v>#REF!</v>
      </c>
      <c r="AY50" s="1833" t="e">
        <f t="shared" si="70"/>
        <v>#REF!</v>
      </c>
      <c r="AZ50" s="2031" t="e">
        <f t="shared" si="9"/>
        <v>#REF!</v>
      </c>
      <c r="BA50" s="1794">
        <f t="shared" ref="BA50:BA55" si="73">G50+J50+M50+U50+AD50+AM50+AV50</f>
        <v>1999208</v>
      </c>
      <c r="BB50" s="1819" t="e">
        <f>G50+J50+V50+AE50+AN50+AW50+M50</f>
        <v>#REF!</v>
      </c>
      <c r="BC50" s="1819" t="e">
        <f t="shared" si="71"/>
        <v>#REF!</v>
      </c>
      <c r="BD50" s="2056" t="e">
        <f t="shared" si="72"/>
        <v>#REF!</v>
      </c>
      <c r="BE50" s="2047" t="e">
        <f t="shared" si="11"/>
        <v>#REF!</v>
      </c>
      <c r="BF50" s="2046" t="e">
        <f t="shared" si="4"/>
        <v>#REF!</v>
      </c>
      <c r="BG50" s="416">
        <f>E49-BA49</f>
        <v>1600</v>
      </c>
    </row>
    <row r="51" spans="1:78" ht="20.25" customHeight="1" x14ac:dyDescent="0.35">
      <c r="A51" s="1652"/>
      <c r="B51" s="1683"/>
      <c r="C51" s="1683"/>
      <c r="D51" s="1818" t="s">
        <v>1</v>
      </c>
      <c r="E51" s="2184">
        <v>2000000</v>
      </c>
      <c r="F51" s="2185">
        <v>1467660</v>
      </c>
      <c r="G51" s="1884">
        <v>1467660</v>
      </c>
      <c r="H51" s="2151">
        <f>F51-G51</f>
        <v>0</v>
      </c>
      <c r="I51" s="1926">
        <v>389500</v>
      </c>
      <c r="J51" s="2175">
        <v>389424</v>
      </c>
      <c r="K51" s="2151">
        <f t="shared" si="69"/>
        <v>76</v>
      </c>
      <c r="L51" s="2042">
        <f>142840-6532</f>
        <v>136308</v>
      </c>
      <c r="M51" s="2151">
        <v>71736</v>
      </c>
      <c r="N51" s="2151">
        <f t="shared" ref="N51:N63" si="74">L51-M51</f>
        <v>64572</v>
      </c>
      <c r="O51" s="1702"/>
      <c r="P51" s="1703" t="e">
        <f>#REF!</f>
        <v>#REF!</v>
      </c>
      <c r="Q51" s="1702"/>
      <c r="R51" s="1703" t="e">
        <f>#REF!</f>
        <v>#REF!</v>
      </c>
      <c r="S51" s="1702">
        <v>5800</v>
      </c>
      <c r="T51" s="1703" t="e">
        <f>#REF!+5800</f>
        <v>#REF!</v>
      </c>
      <c r="U51" s="2148">
        <f t="shared" si="64"/>
        <v>5800</v>
      </c>
      <c r="V51" s="2149" t="e">
        <f t="shared" si="19"/>
        <v>#REF!</v>
      </c>
      <c r="W51" s="1926" t="e">
        <f t="shared" si="20"/>
        <v>#REF!</v>
      </c>
      <c r="X51" s="1702"/>
      <c r="Y51" s="1703" t="e">
        <f>#REF!</f>
        <v>#REF!</v>
      </c>
      <c r="Z51" s="1702"/>
      <c r="AA51" s="1703" t="e">
        <f>#REF!</f>
        <v>#REF!</v>
      </c>
      <c r="AB51" s="1702"/>
      <c r="AC51" s="1703" t="e">
        <f>#REF!</f>
        <v>#REF!</v>
      </c>
      <c r="AD51" s="2148">
        <f t="shared" si="21"/>
        <v>0</v>
      </c>
      <c r="AE51" s="2149" t="e">
        <f t="shared" si="6"/>
        <v>#REF!</v>
      </c>
      <c r="AF51" s="1926" t="e">
        <f t="shared" si="25"/>
        <v>#REF!</v>
      </c>
      <c r="AG51" s="1702"/>
      <c r="AH51" s="1703" t="e">
        <f>#REF!</f>
        <v>#REF!</v>
      </c>
      <c r="AI51" s="1702"/>
      <c r="AJ51" s="1703" t="e">
        <f>#REF!</f>
        <v>#REF!</v>
      </c>
      <c r="AK51" s="1702"/>
      <c r="AL51" s="1703" t="e">
        <f>#REF!</f>
        <v>#REF!</v>
      </c>
      <c r="AM51" s="2148">
        <f t="shared" si="62"/>
        <v>0</v>
      </c>
      <c r="AN51" s="2149" t="e">
        <f t="shared" si="32"/>
        <v>#REF!</v>
      </c>
      <c r="AO51" s="1926" t="e">
        <f t="shared" si="7"/>
        <v>#REF!</v>
      </c>
      <c r="AP51" s="1698">
        <f>[21]สพส.!$K$31</f>
        <v>33468</v>
      </c>
      <c r="AQ51" s="1699" t="e">
        <f>#REF!</f>
        <v>#REF!</v>
      </c>
      <c r="AR51" s="1698">
        <f>[21]สพส.!$L$31</f>
        <v>31104</v>
      </c>
      <c r="AS51" s="1699" t="e">
        <f>#REF!</f>
        <v>#REF!</v>
      </c>
      <c r="AT51" s="1698"/>
      <c r="AU51" s="1699" t="e">
        <f>#REF!</f>
        <v>#REF!</v>
      </c>
      <c r="AV51" s="1794">
        <f>SUM(AP51+AR51+AT51)</f>
        <v>64572</v>
      </c>
      <c r="AW51" s="1795" t="e">
        <f t="shared" si="33"/>
        <v>#REF!</v>
      </c>
      <c r="AX51" s="1796" t="e">
        <f t="shared" si="8"/>
        <v>#REF!</v>
      </c>
      <c r="AY51" s="1833" t="e">
        <f t="shared" si="70"/>
        <v>#REF!</v>
      </c>
      <c r="AZ51" s="2031" t="e">
        <f t="shared" si="9"/>
        <v>#REF!</v>
      </c>
      <c r="BA51" s="1794">
        <f t="shared" si="73"/>
        <v>1999192</v>
      </c>
      <c r="BB51" s="1819" t="e">
        <f>G51+J51+V51+AE51+AN51+AW51+M51</f>
        <v>#REF!</v>
      </c>
      <c r="BC51" s="1819" t="e">
        <f t="shared" si="71"/>
        <v>#REF!</v>
      </c>
      <c r="BD51" s="2056" t="e">
        <f t="shared" si="72"/>
        <v>#REF!</v>
      </c>
      <c r="BE51" s="2047" t="e">
        <f t="shared" si="11"/>
        <v>#REF!</v>
      </c>
      <c r="BF51" s="2046" t="e">
        <f t="shared" si="4"/>
        <v>#REF!</v>
      </c>
    </row>
    <row r="52" spans="1:78" s="1618" customFormat="1" ht="33.75" customHeight="1" x14ac:dyDescent="0.35">
      <c r="A52" s="1654"/>
      <c r="B52" s="1681"/>
      <c r="C52" s="3342" t="s">
        <v>641</v>
      </c>
      <c r="D52" s="3343"/>
      <c r="E52" s="2172">
        <f>4000000-200000</f>
        <v>3800000</v>
      </c>
      <c r="F52" s="2177">
        <f>SUM(F53:F55)</f>
        <v>1983200</v>
      </c>
      <c r="G52" s="2178">
        <f>SUM(G53:G55)</f>
        <v>1644800</v>
      </c>
      <c r="H52" s="2179">
        <f>SUM(H53:H55)</f>
        <v>338400</v>
      </c>
      <c r="I52" s="1697">
        <f>SUM(I53:I55)</f>
        <v>700200</v>
      </c>
      <c r="J52" s="2180">
        <f>SUM(J53:J55)</f>
        <v>750716</v>
      </c>
      <c r="K52" s="2179">
        <f t="shared" si="69"/>
        <v>-50516</v>
      </c>
      <c r="L52" s="2181">
        <f>SUM(L53:L55)</f>
        <v>1116600</v>
      </c>
      <c r="M52" s="2179">
        <f>SUM(M53:M55)</f>
        <v>887600</v>
      </c>
      <c r="N52" s="2179">
        <f t="shared" si="74"/>
        <v>229000</v>
      </c>
      <c r="O52" s="2182">
        <f>SUM(O53:O55)</f>
        <v>0</v>
      </c>
      <c r="P52" s="2183" t="e">
        <f t="shared" ref="P52:AX52" si="75">SUM(P53:P55)</f>
        <v>#REF!</v>
      </c>
      <c r="Q52" s="2182">
        <f t="shared" si="75"/>
        <v>5720</v>
      </c>
      <c r="R52" s="2183" t="e">
        <f t="shared" si="75"/>
        <v>#REF!</v>
      </c>
      <c r="S52" s="2182">
        <f t="shared" si="75"/>
        <v>46190</v>
      </c>
      <c r="T52" s="2183" t="e">
        <f t="shared" si="75"/>
        <v>#REF!</v>
      </c>
      <c r="U52" s="1726">
        <f t="shared" si="75"/>
        <v>51910</v>
      </c>
      <c r="V52" s="1730" t="e">
        <f t="shared" si="75"/>
        <v>#REF!</v>
      </c>
      <c r="W52" s="1697" t="e">
        <f t="shared" si="75"/>
        <v>#REF!</v>
      </c>
      <c r="X52" s="2182">
        <f t="shared" si="75"/>
        <v>0</v>
      </c>
      <c r="Y52" s="2183">
        <f t="shared" si="75"/>
        <v>0</v>
      </c>
      <c r="Z52" s="2182">
        <f t="shared" si="75"/>
        <v>124470</v>
      </c>
      <c r="AA52" s="2183">
        <f t="shared" si="75"/>
        <v>124470.2</v>
      </c>
      <c r="AB52" s="2182">
        <f t="shared" si="75"/>
        <v>60950</v>
      </c>
      <c r="AC52" s="2183">
        <f t="shared" si="75"/>
        <v>60950</v>
      </c>
      <c r="AD52" s="1726">
        <f t="shared" si="75"/>
        <v>185420</v>
      </c>
      <c r="AE52" s="1730">
        <f t="shared" si="75"/>
        <v>185420.2</v>
      </c>
      <c r="AF52" s="1697">
        <f t="shared" si="75"/>
        <v>-0.20000000001164153</v>
      </c>
      <c r="AG52" s="2182">
        <f t="shared" si="75"/>
        <v>0</v>
      </c>
      <c r="AH52" s="2183">
        <f t="shared" si="75"/>
        <v>0</v>
      </c>
      <c r="AI52" s="2182">
        <f t="shared" si="75"/>
        <v>27961</v>
      </c>
      <c r="AJ52" s="2183">
        <f t="shared" si="75"/>
        <v>27960.5</v>
      </c>
      <c r="AK52" s="2182">
        <f t="shared" si="75"/>
        <v>20660</v>
      </c>
      <c r="AL52" s="2183">
        <f t="shared" si="75"/>
        <v>52540</v>
      </c>
      <c r="AM52" s="1726">
        <f t="shared" si="75"/>
        <v>48621</v>
      </c>
      <c r="AN52" s="1730">
        <f t="shared" si="75"/>
        <v>80500.5</v>
      </c>
      <c r="AO52" s="1697">
        <f t="shared" si="75"/>
        <v>-31879.5</v>
      </c>
      <c r="AP52" s="1815">
        <f>SUM(AP53:AP55)</f>
        <v>120980</v>
      </c>
      <c r="AQ52" s="1816">
        <f t="shared" si="75"/>
        <v>75180</v>
      </c>
      <c r="AR52" s="1815">
        <f t="shared" si="75"/>
        <v>57753</v>
      </c>
      <c r="AS52" s="1816">
        <f t="shared" si="75"/>
        <v>37125</v>
      </c>
      <c r="AT52" s="1815">
        <f>SUM(AT53:AT55)</f>
        <v>52200</v>
      </c>
      <c r="AU52" s="1816" t="e">
        <f t="shared" si="75"/>
        <v>#REF!</v>
      </c>
      <c r="AV52" s="1725">
        <f>SUM(AV53:AV55)</f>
        <v>230933</v>
      </c>
      <c r="AW52" s="1729" t="e">
        <f t="shared" si="75"/>
        <v>#REF!</v>
      </c>
      <c r="AX52" s="1696" t="e">
        <f t="shared" si="75"/>
        <v>#REF!</v>
      </c>
      <c r="AY52" s="1829" t="e">
        <f>H52-V52-AE52</f>
        <v>#REF!</v>
      </c>
      <c r="AZ52" s="2031" t="e">
        <f>K52-AN52+AY52</f>
        <v>#REF!</v>
      </c>
      <c r="BA52" s="1726">
        <f t="shared" si="73"/>
        <v>3800000</v>
      </c>
      <c r="BB52" s="1709" t="e">
        <f>G52+J52+V52+AE52+AN52+AW52+M52</f>
        <v>#REF!</v>
      </c>
      <c r="BC52" s="1709" t="e">
        <f t="shared" si="71"/>
        <v>#REF!</v>
      </c>
      <c r="BD52" s="2055" t="e">
        <f t="shared" si="72"/>
        <v>#REF!</v>
      </c>
      <c r="BE52" s="2047" t="e">
        <f t="shared" si="11"/>
        <v>#REF!</v>
      </c>
      <c r="BF52" s="2046" t="e">
        <f t="shared" si="4"/>
        <v>#REF!</v>
      </c>
      <c r="BG52" s="1774">
        <f>E52-BA52</f>
        <v>0</v>
      </c>
      <c r="BH52" s="385"/>
      <c r="BI52" s="385"/>
      <c r="BJ52" s="385"/>
      <c r="BK52" s="385"/>
      <c r="BL52" s="385"/>
      <c r="BM52" s="1817"/>
      <c r="BN52" s="1817"/>
      <c r="BO52" s="1817"/>
      <c r="BP52" s="1817"/>
      <c r="BQ52" s="1817"/>
      <c r="BR52" s="1817"/>
      <c r="BS52" s="1817"/>
      <c r="BT52" s="1817"/>
      <c r="BU52" s="1817"/>
      <c r="BV52" s="1817"/>
      <c r="BW52" s="1817"/>
      <c r="BX52" s="1817"/>
      <c r="BY52" s="1817"/>
      <c r="BZ52" s="1817"/>
    </row>
    <row r="53" spans="1:78" ht="20.25" customHeight="1" x14ac:dyDescent="0.35">
      <c r="A53" s="1652"/>
      <c r="B53" s="1683"/>
      <c r="C53" s="1684"/>
      <c r="D53" s="1820" t="s">
        <v>643</v>
      </c>
      <c r="E53" s="2186">
        <f>E52-E54-E55-43000+43000</f>
        <v>2715852</v>
      </c>
      <c r="F53" s="2187">
        <f>1337170-100000</f>
        <v>1237170</v>
      </c>
      <c r="G53" s="1884">
        <f>895582+3188</f>
        <v>898770</v>
      </c>
      <c r="H53" s="2151">
        <f>F53-G53</f>
        <v>338400</v>
      </c>
      <c r="I53" s="1926">
        <v>613700</v>
      </c>
      <c r="J53" s="2175">
        <f>611540+52800</f>
        <v>664340</v>
      </c>
      <c r="K53" s="2151">
        <f t="shared" si="69"/>
        <v>-50640</v>
      </c>
      <c r="L53" s="2042">
        <v>907980</v>
      </c>
      <c r="M53" s="2151">
        <v>678980</v>
      </c>
      <c r="N53" s="2151">
        <f t="shared" si="74"/>
        <v>229000</v>
      </c>
      <c r="O53" s="1702"/>
      <c r="P53" s="1703">
        <f>'[17]16.โครงการ รายเดือน'!$CH$20</f>
        <v>0</v>
      </c>
      <c r="Q53" s="1702">
        <v>5720</v>
      </c>
      <c r="R53" s="1703">
        <f>'[17]16.โครงการ รายเดือน'!$CI$20</f>
        <v>5720</v>
      </c>
      <c r="S53" s="1702">
        <v>46190</v>
      </c>
      <c r="T53" s="1703">
        <f>'[17]16.โครงการ รายเดือน'!$CJ$20</f>
        <v>46190</v>
      </c>
      <c r="U53" s="2148">
        <f t="shared" si="64"/>
        <v>51910</v>
      </c>
      <c r="V53" s="2149">
        <f t="shared" si="19"/>
        <v>51910</v>
      </c>
      <c r="W53" s="1926">
        <f t="shared" si="20"/>
        <v>0</v>
      </c>
      <c r="X53" s="1702"/>
      <c r="Y53" s="1703">
        <f>'[17]16.โครงการ รายเดือน'!$CK$20</f>
        <v>0</v>
      </c>
      <c r="Z53" s="1702">
        <v>124470</v>
      </c>
      <c r="AA53" s="1703">
        <f>'[17]สรุป สพก.รายเดือน'!$R$8</f>
        <v>124470.2</v>
      </c>
      <c r="AB53" s="1702">
        <v>60950</v>
      </c>
      <c r="AC53" s="1703">
        <f>'[17]สรุป สพก.รายเดือน'!$R$9</f>
        <v>60950</v>
      </c>
      <c r="AD53" s="2148">
        <f>SUM(X53+Z53+AB53)</f>
        <v>185420</v>
      </c>
      <c r="AE53" s="2149">
        <f t="shared" si="6"/>
        <v>185420.2</v>
      </c>
      <c r="AF53" s="1926">
        <f t="shared" si="25"/>
        <v>-0.20000000001164153</v>
      </c>
      <c r="AG53" s="1702">
        <f>[21]สพก.!$H$57</f>
        <v>0</v>
      </c>
      <c r="AH53" s="1703">
        <f>'[17]16.โครงการ รายเดือน'!$CN$20</f>
        <v>0</v>
      </c>
      <c r="AI53" s="1702">
        <v>27961</v>
      </c>
      <c r="AJ53" s="1703">
        <f>'[17]16.โครงการ รายเดือน'!$CS$20</f>
        <v>27960.5</v>
      </c>
      <c r="AK53" s="1702">
        <v>20660</v>
      </c>
      <c r="AL53" s="1703">
        <f>'[17]16.โครงการ รายเดือน'!$CT$20+'[17]16.โครงการ รายเดือน'!$CU$20-AL54</f>
        <v>6990</v>
      </c>
      <c r="AM53" s="2148">
        <f t="shared" si="62"/>
        <v>48621</v>
      </c>
      <c r="AN53" s="2149">
        <f t="shared" si="32"/>
        <v>34950.5</v>
      </c>
      <c r="AO53" s="1926">
        <f t="shared" si="7"/>
        <v>13670.5</v>
      </c>
      <c r="AP53" s="1698">
        <f>[22]ติดตามภาวะ!$D$19</f>
        <v>77980</v>
      </c>
      <c r="AQ53" s="1699">
        <f>'[17]16.โครงการ รายเดือน'!$CW$20</f>
        <v>75180</v>
      </c>
      <c r="AR53" s="1698">
        <f>[22]ติดตามภาวะ!$E$19</f>
        <v>57753</v>
      </c>
      <c r="AS53" s="1699">
        <f>'[17]16.โครงการ รายเดือน'!$CX$20+'[17]16.โครงการ รายเดือน'!$CY$20</f>
        <v>37125</v>
      </c>
      <c r="AT53" s="1698">
        <f>[22]ติดตามภาวะ!$F$19</f>
        <v>52200</v>
      </c>
      <c r="AU53" s="1699" t="e">
        <f>'[17]16.โครงการ รายเดือน'!$CZ$20+'[17]16.โครงการ รายเดือน'!$DA$20</f>
        <v>#REF!</v>
      </c>
      <c r="AV53" s="1794">
        <f t="shared" si="63"/>
        <v>187933</v>
      </c>
      <c r="AW53" s="1795" t="e">
        <f t="shared" si="33"/>
        <v>#REF!</v>
      </c>
      <c r="AX53" s="1796" t="e">
        <f t="shared" si="8"/>
        <v>#REF!</v>
      </c>
      <c r="AY53" s="1833">
        <f>H53-V53-AE53</f>
        <v>101069.79999999999</v>
      </c>
      <c r="AZ53" s="2031">
        <f>K53-AN53+AY53</f>
        <v>15479.299999999988</v>
      </c>
      <c r="BA53" s="1794">
        <f t="shared" si="73"/>
        <v>2715974</v>
      </c>
      <c r="BB53" s="1819" t="e">
        <f>G53+J53+V53+AE53+AN53+AW53+M53</f>
        <v>#REF!</v>
      </c>
      <c r="BC53" s="1819" t="e">
        <f t="shared" si="71"/>
        <v>#REF!</v>
      </c>
      <c r="BD53" s="2056" t="e">
        <f t="shared" si="72"/>
        <v>#REF!</v>
      </c>
      <c r="BE53" s="2047" t="e">
        <f t="shared" si="11"/>
        <v>#REF!</v>
      </c>
      <c r="BF53" s="2046" t="e">
        <f t="shared" si="4"/>
        <v>#REF!</v>
      </c>
      <c r="BG53" s="1731" t="s">
        <v>670</v>
      </c>
      <c r="BH53" s="1732"/>
      <c r="BI53" s="1732"/>
      <c r="BJ53" s="1732"/>
      <c r="BK53" s="1732"/>
      <c r="BL53" s="1732"/>
      <c r="BM53" s="1733"/>
      <c r="BN53" s="1733"/>
      <c r="BO53" s="1733"/>
      <c r="BP53" s="1733"/>
      <c r="BQ53" s="1733"/>
    </row>
    <row r="54" spans="1:78" ht="20.25" customHeight="1" x14ac:dyDescent="0.35">
      <c r="A54" s="1652"/>
      <c r="B54" s="1683"/>
      <c r="C54" s="1684"/>
      <c r="D54" s="1818" t="s">
        <v>635</v>
      </c>
      <c r="E54" s="2186">
        <f>299388+43000</f>
        <v>342388</v>
      </c>
      <c r="F54" s="2187">
        <v>90768</v>
      </c>
      <c r="G54" s="1884">
        <v>90768</v>
      </c>
      <c r="H54" s="2151">
        <f>F54-G54</f>
        <v>0</v>
      </c>
      <c r="I54" s="1926">
        <v>0</v>
      </c>
      <c r="J54" s="2175">
        <v>0</v>
      </c>
      <c r="K54" s="2151">
        <f t="shared" si="69"/>
        <v>0</v>
      </c>
      <c r="L54" s="2042">
        <v>208620</v>
      </c>
      <c r="M54" s="2151">
        <v>208620</v>
      </c>
      <c r="N54" s="2151">
        <f t="shared" si="74"/>
        <v>0</v>
      </c>
      <c r="O54" s="1702">
        <v>0</v>
      </c>
      <c r="P54" s="1703" t="e">
        <f>#REF!</f>
        <v>#REF!</v>
      </c>
      <c r="Q54" s="1702">
        <v>0</v>
      </c>
      <c r="R54" s="1703" t="e">
        <f>#REF!</f>
        <v>#REF!</v>
      </c>
      <c r="S54" s="1702">
        <v>0</v>
      </c>
      <c r="T54" s="1703" t="e">
        <f>#REF!</f>
        <v>#REF!</v>
      </c>
      <c r="U54" s="2148">
        <f t="shared" si="64"/>
        <v>0</v>
      </c>
      <c r="V54" s="2149" t="e">
        <f t="shared" si="19"/>
        <v>#REF!</v>
      </c>
      <c r="W54" s="1926" t="e">
        <f t="shared" si="20"/>
        <v>#REF!</v>
      </c>
      <c r="X54" s="1702">
        <v>0</v>
      </c>
      <c r="Y54" s="1703"/>
      <c r="Z54" s="1702">
        <v>0</v>
      </c>
      <c r="AA54" s="1703"/>
      <c r="AB54" s="1702">
        <v>0</v>
      </c>
      <c r="AC54" s="1703"/>
      <c r="AD54" s="2148">
        <f t="shared" si="21"/>
        <v>0</v>
      </c>
      <c r="AE54" s="2149">
        <f t="shared" si="6"/>
        <v>0</v>
      </c>
      <c r="AF54" s="1926">
        <f t="shared" si="25"/>
        <v>0</v>
      </c>
      <c r="AG54" s="1702">
        <v>0</v>
      </c>
      <c r="AH54" s="1703"/>
      <c r="AI54" s="1702">
        <v>0</v>
      </c>
      <c r="AJ54" s="1703"/>
      <c r="AK54" s="1702">
        <v>0</v>
      </c>
      <c r="AL54" s="1703">
        <f>'[17]16.โครงการ'!$AV$104+'[17]16.โครงการ'!$AV$105+'[17]16.โครงการ'!$AU$102</f>
        <v>45550</v>
      </c>
      <c r="AM54" s="2148">
        <f t="shared" si="62"/>
        <v>0</v>
      </c>
      <c r="AN54" s="2149">
        <f t="shared" si="32"/>
        <v>45550</v>
      </c>
      <c r="AO54" s="1926">
        <f t="shared" si="7"/>
        <v>-45550</v>
      </c>
      <c r="AP54" s="1698">
        <f>[22]ติดตามภาวะ!$C$12</f>
        <v>43000</v>
      </c>
      <c r="AQ54" s="1699"/>
      <c r="AR54" s="1698">
        <v>0</v>
      </c>
      <c r="AS54" s="1699"/>
      <c r="AT54" s="1698">
        <v>0</v>
      </c>
      <c r="AU54" s="1699"/>
      <c r="AV54" s="1794">
        <f t="shared" si="63"/>
        <v>43000</v>
      </c>
      <c r="AW54" s="1795">
        <f t="shared" si="33"/>
        <v>0</v>
      </c>
      <c r="AX54" s="1796">
        <f t="shared" si="8"/>
        <v>43000</v>
      </c>
      <c r="AY54" s="1833" t="e">
        <f t="shared" si="70"/>
        <v>#REF!</v>
      </c>
      <c r="AZ54" s="2031" t="e">
        <f t="shared" si="9"/>
        <v>#REF!</v>
      </c>
      <c r="BA54" s="1794">
        <f t="shared" si="73"/>
        <v>342388</v>
      </c>
      <c r="BB54" s="1819" t="e">
        <f>G54+V54+AE54+AN54+AW54+J54+M54</f>
        <v>#REF!</v>
      </c>
      <c r="BC54" s="1819" t="e">
        <f t="shared" si="71"/>
        <v>#REF!</v>
      </c>
      <c r="BD54" s="2056" t="e">
        <f t="shared" si="72"/>
        <v>#REF!</v>
      </c>
      <c r="BE54" s="2047" t="e">
        <f t="shared" si="11"/>
        <v>#REF!</v>
      </c>
      <c r="BF54" s="2046" t="e">
        <f t="shared" si="4"/>
        <v>#REF!</v>
      </c>
    </row>
    <row r="55" spans="1:78" ht="20.25" customHeight="1" x14ac:dyDescent="0.35">
      <c r="A55" s="1652"/>
      <c r="B55" s="1683"/>
      <c r="C55" s="1684"/>
      <c r="D55" s="1818" t="s">
        <v>1</v>
      </c>
      <c r="E55" s="2186">
        <f>741760</f>
        <v>741760</v>
      </c>
      <c r="F55" s="2187">
        <v>655262</v>
      </c>
      <c r="G55" s="1884">
        <v>655262</v>
      </c>
      <c r="H55" s="2151">
        <f>F55-G55</f>
        <v>0</v>
      </c>
      <c r="I55" s="1926">
        <v>86500</v>
      </c>
      <c r="J55" s="2175">
        <v>86376</v>
      </c>
      <c r="K55" s="2151">
        <f t="shared" si="69"/>
        <v>124</v>
      </c>
      <c r="L55" s="2042">
        <v>0</v>
      </c>
      <c r="M55" s="2151"/>
      <c r="N55" s="2151">
        <f t="shared" si="74"/>
        <v>0</v>
      </c>
      <c r="O55" s="1702"/>
      <c r="P55" s="1703"/>
      <c r="Q55" s="1702"/>
      <c r="R55" s="1703"/>
      <c r="S55" s="1702"/>
      <c r="T55" s="1703"/>
      <c r="U55" s="2148">
        <f t="shared" si="64"/>
        <v>0</v>
      </c>
      <c r="V55" s="2149">
        <f t="shared" si="19"/>
        <v>0</v>
      </c>
      <c r="W55" s="1926">
        <f t="shared" si="20"/>
        <v>0</v>
      </c>
      <c r="X55" s="1702"/>
      <c r="Y55" s="1703"/>
      <c r="Z55" s="1702"/>
      <c r="AA55" s="1703"/>
      <c r="AB55" s="1702"/>
      <c r="AC55" s="1703"/>
      <c r="AD55" s="2148">
        <f t="shared" si="21"/>
        <v>0</v>
      </c>
      <c r="AE55" s="2149">
        <f t="shared" si="6"/>
        <v>0</v>
      </c>
      <c r="AF55" s="1926">
        <f t="shared" si="25"/>
        <v>0</v>
      </c>
      <c r="AG55" s="1702"/>
      <c r="AH55" s="1703"/>
      <c r="AI55" s="1702"/>
      <c r="AJ55" s="1703"/>
      <c r="AK55" s="1702"/>
      <c r="AL55" s="1703"/>
      <c r="AM55" s="2148">
        <f t="shared" si="62"/>
        <v>0</v>
      </c>
      <c r="AN55" s="2149">
        <f t="shared" si="32"/>
        <v>0</v>
      </c>
      <c r="AO55" s="1926">
        <f t="shared" si="7"/>
        <v>0</v>
      </c>
      <c r="AP55" s="1698"/>
      <c r="AQ55" s="1699"/>
      <c r="AR55" s="1698"/>
      <c r="AS55" s="1699"/>
      <c r="AT55" s="1698"/>
      <c r="AU55" s="1699"/>
      <c r="AV55" s="1794">
        <f t="shared" si="63"/>
        <v>0</v>
      </c>
      <c r="AW55" s="1795">
        <f t="shared" si="33"/>
        <v>0</v>
      </c>
      <c r="AX55" s="1796">
        <f t="shared" si="8"/>
        <v>0</v>
      </c>
      <c r="AY55" s="1833">
        <f t="shared" si="70"/>
        <v>0</v>
      </c>
      <c r="AZ55" s="2031">
        <f t="shared" si="9"/>
        <v>124</v>
      </c>
      <c r="BA55" s="1794">
        <f t="shared" si="73"/>
        <v>741638</v>
      </c>
      <c r="BB55" s="1819">
        <f>G55+J55+V55+AE55+AN55+AW55</f>
        <v>741638</v>
      </c>
      <c r="BC55" s="1819">
        <f t="shared" si="71"/>
        <v>122</v>
      </c>
      <c r="BD55" s="2056">
        <f t="shared" si="72"/>
        <v>0</v>
      </c>
      <c r="BE55" s="2047">
        <f t="shared" si="11"/>
        <v>122</v>
      </c>
      <c r="BF55" s="2046">
        <f t="shared" si="4"/>
        <v>0</v>
      </c>
    </row>
    <row r="56" spans="1:78" ht="33.75" customHeight="1" x14ac:dyDescent="0.35">
      <c r="A56" s="1652"/>
      <c r="B56" s="1683"/>
      <c r="C56" s="3342" t="s">
        <v>665</v>
      </c>
      <c r="D56" s="3343"/>
      <c r="E56" s="2172">
        <f>5067400+1940091</f>
        <v>7007491</v>
      </c>
      <c r="F56" s="2177">
        <v>2533700</v>
      </c>
      <c r="G56" s="2178">
        <f>2116800+326624</f>
        <v>2443424</v>
      </c>
      <c r="H56" s="2179">
        <f>F56-G56</f>
        <v>90276</v>
      </c>
      <c r="I56" s="1697">
        <f>1266900+1940091</f>
        <v>3206991</v>
      </c>
      <c r="J56" s="2180">
        <f>705600+469974+2121605</f>
        <v>3297179</v>
      </c>
      <c r="K56" s="2179">
        <f>I56-J56</f>
        <v>-90188</v>
      </c>
      <c r="L56" s="2181">
        <v>1266800</v>
      </c>
      <c r="M56" s="2179">
        <v>1264788</v>
      </c>
      <c r="N56" s="2179">
        <f>L56-M56</f>
        <v>2012</v>
      </c>
      <c r="O56" s="1702"/>
      <c r="P56" s="1703">
        <f>'[18]16.โครงการ รายเดือน'!$BT$20</f>
        <v>0</v>
      </c>
      <c r="Q56" s="1702"/>
      <c r="R56" s="1703">
        <f>'[18]16.โครงการ รายเดือน'!$BU$20</f>
        <v>0</v>
      </c>
      <c r="S56" s="1702"/>
      <c r="T56" s="1703">
        <f>'[18]16.โครงการ รายเดือน'!$BV$20</f>
        <v>0</v>
      </c>
      <c r="U56" s="1726">
        <f t="shared" si="64"/>
        <v>0</v>
      </c>
      <c r="V56" s="1730">
        <f t="shared" si="19"/>
        <v>0</v>
      </c>
      <c r="W56" s="1697">
        <f t="shared" si="20"/>
        <v>0</v>
      </c>
      <c r="X56" s="1702"/>
      <c r="Y56" s="1703">
        <f>'[18]16.โครงการ รายเดือน'!$BW$20</f>
        <v>0</v>
      </c>
      <c r="Z56" s="1702"/>
      <c r="AA56" s="1703">
        <f>'[18]16.โครงการ รายเดือน'!$BX$20</f>
        <v>0</v>
      </c>
      <c r="AB56" s="1702"/>
      <c r="AC56" s="1703">
        <f>'[18]16.โครงการ รายเดือน'!$BY$20</f>
        <v>0</v>
      </c>
      <c r="AD56" s="1726">
        <f t="shared" si="21"/>
        <v>0</v>
      </c>
      <c r="AE56" s="1730">
        <f t="shared" si="6"/>
        <v>0</v>
      </c>
      <c r="AF56" s="1697">
        <f t="shared" si="25"/>
        <v>0</v>
      </c>
      <c r="AG56" s="1702"/>
      <c r="AH56" s="1703">
        <f>'[18]16.โครงการ รายเดือน'!$BZ$20</f>
        <v>0</v>
      </c>
      <c r="AI56" s="1702"/>
      <c r="AJ56" s="1703">
        <f>'[18]16.โครงการ รายเดือน'!$CA$20</f>
        <v>0</v>
      </c>
      <c r="AK56" s="1702"/>
      <c r="AL56" s="1703">
        <f>'[18]16.โครงการ รายเดือน'!$CB$20</f>
        <v>0</v>
      </c>
      <c r="AM56" s="1726">
        <f t="shared" si="62"/>
        <v>0</v>
      </c>
      <c r="AN56" s="1730">
        <f t="shared" si="32"/>
        <v>0</v>
      </c>
      <c r="AO56" s="1697">
        <f t="shared" si="7"/>
        <v>0</v>
      </c>
      <c r="AP56" s="1698"/>
      <c r="AQ56" s="1699">
        <f>'[18]16.โครงการ รายเดือน'!$CC$20</f>
        <v>0</v>
      </c>
      <c r="AR56" s="1698"/>
      <c r="AS56" s="1699">
        <f>'[18]16.โครงการ รายเดือน'!$CD$20</f>
        <v>0</v>
      </c>
      <c r="AT56" s="1698"/>
      <c r="AU56" s="1699">
        <f>'[18]16.โครงการ รายเดือน'!$CE$20</f>
        <v>0</v>
      </c>
      <c r="AV56" s="1725">
        <f t="shared" si="63"/>
        <v>0</v>
      </c>
      <c r="AW56" s="1729">
        <f t="shared" si="33"/>
        <v>0</v>
      </c>
      <c r="AX56" s="1696">
        <f t="shared" si="8"/>
        <v>0</v>
      </c>
      <c r="AY56" s="1829">
        <f t="shared" si="70"/>
        <v>90276</v>
      </c>
      <c r="AZ56" s="2031">
        <f>K56-AN56+AY56</f>
        <v>88</v>
      </c>
      <c r="BA56" s="1725">
        <f>E56+U56+AD56+AM56+AV56</f>
        <v>7007491</v>
      </c>
      <c r="BB56" s="1709">
        <f>G56+V56+AE56+AN56+AW56+J56+M56</f>
        <v>7005391</v>
      </c>
      <c r="BC56" s="1709">
        <f>BA56-BB56</f>
        <v>2100</v>
      </c>
      <c r="BD56" s="2055">
        <f t="shared" si="72"/>
        <v>2100</v>
      </c>
      <c r="BE56" s="2047">
        <f t="shared" si="11"/>
        <v>0</v>
      </c>
      <c r="BF56" s="2046">
        <f t="shared" si="4"/>
        <v>0</v>
      </c>
    </row>
    <row r="57" spans="1:78" s="1618" customFormat="1" ht="31.5" customHeight="1" x14ac:dyDescent="0.35">
      <c r="A57" s="1654"/>
      <c r="B57" s="1681"/>
      <c r="C57" s="3342" t="s">
        <v>637</v>
      </c>
      <c r="D57" s="3343"/>
      <c r="E57" s="2172">
        <f t="shared" ref="E57:J57" si="76">SUM(E58:E59)</f>
        <v>4000000</v>
      </c>
      <c r="F57" s="2177">
        <f t="shared" si="76"/>
        <v>1063200</v>
      </c>
      <c r="G57" s="2178">
        <f t="shared" si="76"/>
        <v>1043500</v>
      </c>
      <c r="H57" s="2179">
        <f t="shared" si="76"/>
        <v>19700</v>
      </c>
      <c r="I57" s="1697">
        <f t="shared" si="76"/>
        <v>1878900</v>
      </c>
      <c r="J57" s="2180">
        <f t="shared" si="76"/>
        <v>1785400</v>
      </c>
      <c r="K57" s="2179">
        <f t="shared" si="69"/>
        <v>93500</v>
      </c>
      <c r="L57" s="2181">
        <f>SUM(L58:L59)</f>
        <v>1057900</v>
      </c>
      <c r="M57" s="2181">
        <f>SUM(M58:M59)</f>
        <v>1027317</v>
      </c>
      <c r="N57" s="2151">
        <f t="shared" si="74"/>
        <v>30583</v>
      </c>
      <c r="O57" s="2182">
        <f>SUM(O58:O59)</f>
        <v>0</v>
      </c>
      <c r="P57" s="2183">
        <f t="shared" ref="P57:AX57" si="77">SUM(P58:P59)</f>
        <v>3353.38</v>
      </c>
      <c r="Q57" s="2182">
        <f t="shared" si="77"/>
        <v>0</v>
      </c>
      <c r="R57" s="2183">
        <f t="shared" si="77"/>
        <v>0</v>
      </c>
      <c r="S57" s="2182">
        <f t="shared" si="77"/>
        <v>12060</v>
      </c>
      <c r="T57" s="2183">
        <f t="shared" si="77"/>
        <v>12060</v>
      </c>
      <c r="U57" s="1726">
        <f t="shared" si="77"/>
        <v>12060</v>
      </c>
      <c r="V57" s="1730">
        <f t="shared" si="77"/>
        <v>15413.380000000001</v>
      </c>
      <c r="W57" s="1697">
        <f t="shared" si="77"/>
        <v>-3353.380000000001</v>
      </c>
      <c r="X57" s="2182">
        <f t="shared" si="77"/>
        <v>0</v>
      </c>
      <c r="Y57" s="2183">
        <f t="shared" si="77"/>
        <v>0</v>
      </c>
      <c r="Z57" s="2182">
        <f t="shared" si="77"/>
        <v>6440</v>
      </c>
      <c r="AA57" s="2183">
        <f t="shared" si="77"/>
        <v>6440</v>
      </c>
      <c r="AB57" s="2182">
        <f t="shared" si="77"/>
        <v>0</v>
      </c>
      <c r="AC57" s="2183">
        <f t="shared" si="77"/>
        <v>0</v>
      </c>
      <c r="AD57" s="1726">
        <f t="shared" si="77"/>
        <v>6440</v>
      </c>
      <c r="AE57" s="1730">
        <f t="shared" si="77"/>
        <v>6440</v>
      </c>
      <c r="AF57" s="1697">
        <f t="shared" si="77"/>
        <v>0</v>
      </c>
      <c r="AG57" s="2182">
        <f t="shared" si="77"/>
        <v>11600</v>
      </c>
      <c r="AH57" s="2183">
        <f t="shared" si="77"/>
        <v>11600</v>
      </c>
      <c r="AI57" s="2182">
        <f t="shared" si="77"/>
        <v>0</v>
      </c>
      <c r="AJ57" s="2183">
        <f t="shared" si="77"/>
        <v>0</v>
      </c>
      <c r="AK57" s="2182">
        <f t="shared" si="77"/>
        <v>25000</v>
      </c>
      <c r="AL57" s="2183">
        <f t="shared" si="77"/>
        <v>0</v>
      </c>
      <c r="AM57" s="1726">
        <f t="shared" si="77"/>
        <v>36600</v>
      </c>
      <c r="AN57" s="1730">
        <f t="shared" si="77"/>
        <v>11600</v>
      </c>
      <c r="AO57" s="1697">
        <f t="shared" si="77"/>
        <v>25000</v>
      </c>
      <c r="AP57" s="1815">
        <f t="shared" si="77"/>
        <v>25000</v>
      </c>
      <c r="AQ57" s="1816">
        <f t="shared" si="77"/>
        <v>79750</v>
      </c>
      <c r="AR57" s="1815">
        <f t="shared" si="77"/>
        <v>25000</v>
      </c>
      <c r="AS57" s="1816">
        <f t="shared" si="77"/>
        <v>28069</v>
      </c>
      <c r="AT57" s="1815">
        <f t="shared" si="77"/>
        <v>25000</v>
      </c>
      <c r="AU57" s="1816">
        <f t="shared" si="77"/>
        <v>28069</v>
      </c>
      <c r="AV57" s="1725">
        <f t="shared" si="77"/>
        <v>75000</v>
      </c>
      <c r="AW57" s="1729">
        <f t="shared" si="77"/>
        <v>135888</v>
      </c>
      <c r="AX57" s="1696">
        <f t="shared" si="77"/>
        <v>-60888</v>
      </c>
      <c r="AY57" s="1829">
        <f>H57-V57-AE57</f>
        <v>-2153.380000000001</v>
      </c>
      <c r="AZ57" s="2044">
        <f>K57-AN57+AY57</f>
        <v>79746.62</v>
      </c>
      <c r="BA57" s="1726">
        <f>SUM(BA58:BA59)</f>
        <v>3986317</v>
      </c>
      <c r="BB57" s="1709">
        <f t="shared" ref="BB57:BB63" si="78">G57+J57+V57+AE57+AN57+AW57+M57</f>
        <v>4025558.38</v>
      </c>
      <c r="BC57" s="1709">
        <f>E57-BB57</f>
        <v>-25558.379999999888</v>
      </c>
      <c r="BD57" s="2055">
        <f t="shared" si="72"/>
        <v>-39241.379999999888</v>
      </c>
      <c r="BE57" s="2047">
        <f t="shared" si="11"/>
        <v>13683</v>
      </c>
      <c r="BF57" s="2046">
        <f t="shared" si="4"/>
        <v>169341.38</v>
      </c>
      <c r="BG57" s="1774">
        <f>E57-BA57</f>
        <v>13683</v>
      </c>
      <c r="BH57" s="385"/>
      <c r="BI57" s="385"/>
      <c r="BJ57" s="385"/>
      <c r="BK57" s="385"/>
      <c r="BL57" s="385"/>
      <c r="BM57" s="1817"/>
      <c r="BN57" s="1817"/>
      <c r="BO57" s="1817"/>
      <c r="BP57" s="1817"/>
      <c r="BQ57" s="1817"/>
      <c r="BR57" s="1817"/>
      <c r="BS57" s="1817"/>
      <c r="BT57" s="1817"/>
      <c r="BU57" s="1817"/>
      <c r="BV57" s="1817"/>
      <c r="BW57" s="1817"/>
      <c r="BX57" s="1817"/>
      <c r="BY57" s="1817"/>
      <c r="BZ57" s="1817"/>
    </row>
    <row r="58" spans="1:78" ht="23.25" customHeight="1" x14ac:dyDescent="0.35">
      <c r="A58" s="1652"/>
      <c r="B58" s="1683"/>
      <c r="C58" s="1683"/>
      <c r="D58" s="1818" t="s">
        <v>3</v>
      </c>
      <c r="E58" s="2186">
        <f>F58+I58+L58</f>
        <v>954415.5</v>
      </c>
      <c r="F58" s="2187">
        <f>19642+269467.5</f>
        <v>289109.5</v>
      </c>
      <c r="G58" s="1884">
        <f>269467.5-58</f>
        <v>269409.5</v>
      </c>
      <c r="H58" s="2151">
        <f>F58-G58</f>
        <v>19700</v>
      </c>
      <c r="I58" s="1926">
        <v>499989</v>
      </c>
      <c r="J58" s="2175">
        <v>406489</v>
      </c>
      <c r="K58" s="2151">
        <f t="shared" si="69"/>
        <v>93500</v>
      </c>
      <c r="L58" s="2042">
        <f>M58+AV58-44417</f>
        <v>165317</v>
      </c>
      <c r="M58" s="2151">
        <v>134734</v>
      </c>
      <c r="N58" s="2151">
        <f t="shared" si="74"/>
        <v>30583</v>
      </c>
      <c r="O58" s="1702">
        <v>0</v>
      </c>
      <c r="P58" s="1703">
        <f>'[12]16.โครงการ รายเดือน'!$P$20</f>
        <v>3353.38</v>
      </c>
      <c r="Q58" s="1702">
        <v>0</v>
      </c>
      <c r="R58" s="1703">
        <f>'[12]16.โครงการ รายเดือน'!$Q$20</f>
        <v>0</v>
      </c>
      <c r="S58" s="1702">
        <v>12060</v>
      </c>
      <c r="T58" s="1703">
        <f>'[12]16.โครงการ รายเดือน'!$R$20</f>
        <v>12060</v>
      </c>
      <c r="U58" s="2148">
        <f t="shared" si="64"/>
        <v>12060</v>
      </c>
      <c r="V58" s="2149">
        <f t="shared" si="19"/>
        <v>15413.380000000001</v>
      </c>
      <c r="W58" s="1926">
        <f t="shared" si="20"/>
        <v>-3353.380000000001</v>
      </c>
      <c r="X58" s="1702">
        <v>0</v>
      </c>
      <c r="Y58" s="1703">
        <f>'[12]16.โครงการ รายเดือน'!$S$20</f>
        <v>0</v>
      </c>
      <c r="Z58" s="1702">
        <v>6440</v>
      </c>
      <c r="AA58" s="1703">
        <f>'[12]16.โครงการ รายเดือน'!$T$20</f>
        <v>6440</v>
      </c>
      <c r="AB58" s="1702">
        <f>[21]สสป!$G$82</f>
        <v>0</v>
      </c>
      <c r="AC58" s="1703">
        <f>'[12]16.โครงการ รายเดือน'!$U$20</f>
        <v>0</v>
      </c>
      <c r="AD58" s="2148">
        <f t="shared" si="21"/>
        <v>6440</v>
      </c>
      <c r="AE58" s="2149">
        <f t="shared" si="6"/>
        <v>6440</v>
      </c>
      <c r="AF58" s="1926">
        <f t="shared" si="25"/>
        <v>0</v>
      </c>
      <c r="AG58" s="1702">
        <v>11600</v>
      </c>
      <c r="AH58" s="1703">
        <f>'[12]16.โครงการ รายเดือน'!$V$20</f>
        <v>11600</v>
      </c>
      <c r="AI58" s="1702">
        <f>[21]สสป!$I$82</f>
        <v>0</v>
      </c>
      <c r="AJ58" s="1703">
        <f>'[12]16.โครงการ รายเดือน'!$W$20</f>
        <v>0</v>
      </c>
      <c r="AK58" s="1702">
        <f>[21]สสป!$J$82</f>
        <v>25000</v>
      </c>
      <c r="AL58" s="1703">
        <f>'[12]16.โครงการ รายเดือน'!$X$20</f>
        <v>0</v>
      </c>
      <c r="AM58" s="2148">
        <f t="shared" si="62"/>
        <v>36600</v>
      </c>
      <c r="AN58" s="2149">
        <f t="shared" si="32"/>
        <v>11600</v>
      </c>
      <c r="AO58" s="1926">
        <f t="shared" si="7"/>
        <v>25000</v>
      </c>
      <c r="AP58" s="1698">
        <f>[21]สสป!$K$82</f>
        <v>25000</v>
      </c>
      <c r="AQ58" s="1699">
        <f>'[12]16.โครงการ รายเดือน'!$Y$20</f>
        <v>79750</v>
      </c>
      <c r="AR58" s="1698">
        <f>[21]สสป!$L$82</f>
        <v>25000</v>
      </c>
      <c r="AS58" s="1699">
        <f>'[12]16.โครงการ รายเดือน'!$Z$20</f>
        <v>28069</v>
      </c>
      <c r="AT58" s="1698">
        <f>[21]สสป!$M$82</f>
        <v>25000</v>
      </c>
      <c r="AU58" s="1699">
        <f>'[12]16.โครงการ รายเดือน'!$Z$20</f>
        <v>28069</v>
      </c>
      <c r="AV58" s="1794">
        <f t="shared" si="63"/>
        <v>75000</v>
      </c>
      <c r="AW58" s="1795">
        <f t="shared" si="33"/>
        <v>135888</v>
      </c>
      <c r="AX58" s="1796">
        <f t="shared" si="8"/>
        <v>-60888</v>
      </c>
      <c r="AY58" s="1829">
        <f t="shared" si="70"/>
        <v>-2153.380000000001</v>
      </c>
      <c r="AZ58" s="2031">
        <f>K58-AN58+AY58</f>
        <v>79746.62</v>
      </c>
      <c r="BA58" s="1794">
        <f>G58+J58+M58+U58+AD58+AM58+AV58</f>
        <v>940732.5</v>
      </c>
      <c r="BB58" s="1819">
        <f t="shared" si="78"/>
        <v>979973.88</v>
      </c>
      <c r="BC58" s="1819">
        <f>E58-BB58</f>
        <v>-25558.380000000005</v>
      </c>
      <c r="BD58" s="2056">
        <f t="shared" si="72"/>
        <v>-39241.380000000005</v>
      </c>
      <c r="BE58" s="2047">
        <f t="shared" si="11"/>
        <v>13683</v>
      </c>
      <c r="BF58" s="2046">
        <f t="shared" si="4"/>
        <v>169341.38</v>
      </c>
    </row>
    <row r="59" spans="1:78" ht="23.25" customHeight="1" x14ac:dyDescent="0.35">
      <c r="A59" s="1652"/>
      <c r="B59" s="1683"/>
      <c r="C59" s="1683"/>
      <c r="D59" s="1818" t="s">
        <v>20</v>
      </c>
      <c r="E59" s="2186">
        <f>F59+I59+L59</f>
        <v>3045584.5</v>
      </c>
      <c r="F59" s="2187">
        <v>774090.5</v>
      </c>
      <c r="G59" s="1884">
        <v>774090.5</v>
      </c>
      <c r="H59" s="2151">
        <f>F59-G59</f>
        <v>0</v>
      </c>
      <c r="I59" s="1926">
        <f>1441611-62700</f>
        <v>1378911</v>
      </c>
      <c r="J59" s="2175">
        <f>1238001+140910</f>
        <v>1378911</v>
      </c>
      <c r="K59" s="2151">
        <f t="shared" si="69"/>
        <v>0</v>
      </c>
      <c r="L59" s="2042">
        <f>848166+44417</f>
        <v>892583</v>
      </c>
      <c r="M59" s="2151">
        <v>892583</v>
      </c>
      <c r="N59" s="2151">
        <f t="shared" si="74"/>
        <v>0</v>
      </c>
      <c r="O59" s="1702">
        <v>0</v>
      </c>
      <c r="P59" s="1703">
        <f>'[16]16.โครงการ รายเดือน'!$P$20</f>
        <v>0</v>
      </c>
      <c r="Q59" s="1702"/>
      <c r="R59" s="1703">
        <v>0</v>
      </c>
      <c r="S59" s="1702"/>
      <c r="T59" s="1703">
        <f>'[16]16.โครงการ รายเดือน'!$R$20</f>
        <v>0</v>
      </c>
      <c r="U59" s="2148">
        <f t="shared" si="64"/>
        <v>0</v>
      </c>
      <c r="V59" s="2149">
        <f t="shared" si="19"/>
        <v>0</v>
      </c>
      <c r="W59" s="1926">
        <f t="shared" si="20"/>
        <v>0</v>
      </c>
      <c r="X59" s="1702"/>
      <c r="Y59" s="1703">
        <f>'[16]16.โครงการ รายเดือน'!$S$20</f>
        <v>0</v>
      </c>
      <c r="Z59" s="1702"/>
      <c r="AA59" s="1703">
        <f>'[16]16.โครงการ รายเดือน'!$T$20</f>
        <v>0</v>
      </c>
      <c r="AB59" s="1702"/>
      <c r="AC59" s="1703">
        <f>'[16]16.โครงการ รายเดือน'!$U$20</f>
        <v>0</v>
      </c>
      <c r="AD59" s="2148">
        <f t="shared" si="21"/>
        <v>0</v>
      </c>
      <c r="AE59" s="2149">
        <f t="shared" si="6"/>
        <v>0</v>
      </c>
      <c r="AF59" s="1926">
        <f t="shared" si="25"/>
        <v>0</v>
      </c>
      <c r="AG59" s="1702"/>
      <c r="AH59" s="1703">
        <f>'[16]16.โครงการ รายเดือน'!$V$20</f>
        <v>0</v>
      </c>
      <c r="AI59" s="1702"/>
      <c r="AJ59" s="1703">
        <f>'[16]16.โครงการ รายเดือน'!$W$20</f>
        <v>0</v>
      </c>
      <c r="AK59" s="1702"/>
      <c r="AL59" s="1703">
        <f>'[16]16.โครงการ รายเดือน'!$X$20</f>
        <v>0</v>
      </c>
      <c r="AM59" s="2148">
        <f t="shared" si="62"/>
        <v>0</v>
      </c>
      <c r="AN59" s="2149">
        <f t="shared" si="32"/>
        <v>0</v>
      </c>
      <c r="AO59" s="1926">
        <f t="shared" si="7"/>
        <v>0</v>
      </c>
      <c r="AP59" s="1698"/>
      <c r="AQ59" s="1699">
        <f>'[16]16.โครงการ รายเดือน'!$Y$20</f>
        <v>0</v>
      </c>
      <c r="AR59" s="1698"/>
      <c r="AS59" s="1699">
        <f>'[16]16.โครงการ รายเดือน'!$Z$20</f>
        <v>0</v>
      </c>
      <c r="AT59" s="1698"/>
      <c r="AU59" s="1699">
        <f>'[16]16.โครงการ รายเดือน'!$AA$20</f>
        <v>0</v>
      </c>
      <c r="AV59" s="1794">
        <f t="shared" si="63"/>
        <v>0</v>
      </c>
      <c r="AW59" s="1795">
        <f t="shared" si="33"/>
        <v>0</v>
      </c>
      <c r="AX59" s="1796">
        <f t="shared" si="8"/>
        <v>0</v>
      </c>
      <c r="AY59" s="1829">
        <f>H59-V59-AE59</f>
        <v>0</v>
      </c>
      <c r="AZ59" s="2031">
        <f>K59-AN59+AY59</f>
        <v>0</v>
      </c>
      <c r="BA59" s="1794">
        <f>G59+J59+M59+U59+AD59+AM59+AV59</f>
        <v>3045584.5</v>
      </c>
      <c r="BB59" s="1819">
        <f t="shared" si="78"/>
        <v>3045584.5</v>
      </c>
      <c r="BC59" s="1819">
        <f>E59-BB59</f>
        <v>0</v>
      </c>
      <c r="BD59" s="2056">
        <f t="shared" si="72"/>
        <v>0</v>
      </c>
      <c r="BE59" s="2047">
        <f t="shared" si="11"/>
        <v>0</v>
      </c>
      <c r="BF59" s="2046">
        <f t="shared" si="4"/>
        <v>0</v>
      </c>
    </row>
    <row r="60" spans="1:78" ht="34.5" customHeight="1" x14ac:dyDescent="0.35">
      <c r="A60" s="1652"/>
      <c r="B60" s="3344" t="s">
        <v>668</v>
      </c>
      <c r="C60" s="3344"/>
      <c r="D60" s="3345"/>
      <c r="E60" s="2172">
        <f>E61+E62+E63</f>
        <v>10703000</v>
      </c>
      <c r="F60" s="2177">
        <f>SUM(F61:F63)</f>
        <v>5351500</v>
      </c>
      <c r="G60" s="2178">
        <f>SUM(G61:G63)</f>
        <v>1408800</v>
      </c>
      <c r="H60" s="2174">
        <f>SUM(H61:H63)</f>
        <v>3942700</v>
      </c>
      <c r="I60" s="1697">
        <f>SUM(I61:I63)</f>
        <v>2675800</v>
      </c>
      <c r="J60" s="2180">
        <f>SUM(J61:J63)</f>
        <v>6089700</v>
      </c>
      <c r="K60" s="2174">
        <f t="shared" si="69"/>
        <v>-3413900</v>
      </c>
      <c r="L60" s="2042">
        <f>SUM(L61:L63)</f>
        <v>2675700</v>
      </c>
      <c r="M60" s="2174">
        <f>SUM(M61:M63)</f>
        <v>2409360</v>
      </c>
      <c r="N60" s="2179">
        <f t="shared" si="74"/>
        <v>266340</v>
      </c>
      <c r="O60" s="1702">
        <f>SUM(O61:O63)</f>
        <v>0</v>
      </c>
      <c r="P60" s="1703">
        <f t="shared" ref="P60:AX60" si="79">SUM(P61:P63)</f>
        <v>0</v>
      </c>
      <c r="Q60" s="1702">
        <f t="shared" si="79"/>
        <v>0</v>
      </c>
      <c r="R60" s="1703">
        <f t="shared" si="79"/>
        <v>0</v>
      </c>
      <c r="S60" s="2182">
        <f t="shared" si="79"/>
        <v>770</v>
      </c>
      <c r="T60" s="2183">
        <f t="shared" si="79"/>
        <v>770</v>
      </c>
      <c r="U60" s="1726">
        <f t="shared" si="79"/>
        <v>770</v>
      </c>
      <c r="V60" s="1730">
        <f t="shared" si="79"/>
        <v>770</v>
      </c>
      <c r="W60" s="1697">
        <f t="shared" si="79"/>
        <v>0</v>
      </c>
      <c r="X60" s="2182">
        <f t="shared" si="79"/>
        <v>59370</v>
      </c>
      <c r="Y60" s="2183">
        <f t="shared" si="79"/>
        <v>59370</v>
      </c>
      <c r="Z60" s="2182">
        <f t="shared" si="79"/>
        <v>0</v>
      </c>
      <c r="AA60" s="1703">
        <f t="shared" si="79"/>
        <v>0</v>
      </c>
      <c r="AB60" s="2182">
        <f t="shared" si="79"/>
        <v>5075</v>
      </c>
      <c r="AC60" s="2183">
        <f t="shared" si="79"/>
        <v>1575</v>
      </c>
      <c r="AD60" s="1726">
        <f t="shared" si="79"/>
        <v>64445</v>
      </c>
      <c r="AE60" s="1730">
        <f t="shared" si="79"/>
        <v>60945</v>
      </c>
      <c r="AF60" s="1697">
        <f t="shared" si="79"/>
        <v>3500</v>
      </c>
      <c r="AG60" s="2182">
        <f t="shared" si="79"/>
        <v>700</v>
      </c>
      <c r="AH60" s="2183">
        <f t="shared" si="79"/>
        <v>700</v>
      </c>
      <c r="AI60" s="2182">
        <f t="shared" si="79"/>
        <v>0</v>
      </c>
      <c r="AJ60" s="2183">
        <f t="shared" si="79"/>
        <v>16460</v>
      </c>
      <c r="AK60" s="2182">
        <f t="shared" si="79"/>
        <v>35200</v>
      </c>
      <c r="AL60" s="2183">
        <f t="shared" si="79"/>
        <v>433874.3</v>
      </c>
      <c r="AM60" s="1726">
        <f t="shared" si="79"/>
        <v>35900</v>
      </c>
      <c r="AN60" s="1730">
        <f t="shared" si="79"/>
        <v>451034.3</v>
      </c>
      <c r="AO60" s="1697">
        <f t="shared" si="79"/>
        <v>-415134.3</v>
      </c>
      <c r="AP60" s="1815">
        <f t="shared" si="79"/>
        <v>671725</v>
      </c>
      <c r="AQ60" s="1816">
        <f t="shared" si="79"/>
        <v>36594</v>
      </c>
      <c r="AR60" s="1815">
        <f t="shared" si="79"/>
        <v>15000</v>
      </c>
      <c r="AS60" s="1816">
        <f t="shared" si="79"/>
        <v>14380</v>
      </c>
      <c r="AT60" s="1815">
        <f t="shared" si="79"/>
        <v>7300</v>
      </c>
      <c r="AU60" s="1816">
        <f t="shared" si="79"/>
        <v>132490</v>
      </c>
      <c r="AV60" s="1725">
        <f t="shared" si="79"/>
        <v>694025</v>
      </c>
      <c r="AW60" s="1729">
        <f t="shared" si="79"/>
        <v>183464</v>
      </c>
      <c r="AX60" s="1696">
        <f t="shared" si="79"/>
        <v>510561</v>
      </c>
      <c r="AY60" s="1829">
        <f t="shared" si="70"/>
        <v>3880985</v>
      </c>
      <c r="AZ60" s="2044">
        <f t="shared" si="9"/>
        <v>16050.700000000186</v>
      </c>
      <c r="BA60" s="1725">
        <f>SUM(BA61:BA63)</f>
        <v>10703000</v>
      </c>
      <c r="BB60" s="1709">
        <f t="shared" si="78"/>
        <v>10604073.300000001</v>
      </c>
      <c r="BC60" s="1709">
        <f>E60-BB60</f>
        <v>98926.699999999255</v>
      </c>
      <c r="BD60" s="2055">
        <f t="shared" si="72"/>
        <v>98926.699999999255</v>
      </c>
      <c r="BE60" s="2047">
        <f t="shared" si="11"/>
        <v>0</v>
      </c>
      <c r="BF60" s="2046">
        <f t="shared" si="4"/>
        <v>696213.3</v>
      </c>
    </row>
    <row r="61" spans="1:78" ht="24" customHeight="1" x14ac:dyDescent="0.35">
      <c r="A61" s="1652"/>
      <c r="B61" s="1683"/>
      <c r="C61" s="3340" t="s">
        <v>782</v>
      </c>
      <c r="D61" s="3341"/>
      <c r="E61" s="2184">
        <v>1500000</v>
      </c>
      <c r="F61" s="2185">
        <v>750000</v>
      </c>
      <c r="G61" s="1884">
        <v>750000</v>
      </c>
      <c r="H61" s="2151">
        <f>F61-G61</f>
        <v>0</v>
      </c>
      <c r="I61" s="1926">
        <v>375000</v>
      </c>
      <c r="J61" s="2175">
        <v>375000</v>
      </c>
      <c r="K61" s="2151">
        <f t="shared" si="69"/>
        <v>0</v>
      </c>
      <c r="L61" s="2042">
        <v>375000</v>
      </c>
      <c r="M61" s="2151">
        <v>375000</v>
      </c>
      <c r="N61" s="2151">
        <f t="shared" si="74"/>
        <v>0</v>
      </c>
      <c r="O61" s="1702"/>
      <c r="P61" s="1703">
        <f>'[18]16.โครงการ รายเดือน'!$BF$20</f>
        <v>0</v>
      </c>
      <c r="Q61" s="1702"/>
      <c r="R61" s="1703">
        <f>'[18]16.โครงการ รายเดือน'!$BG$20</f>
        <v>0</v>
      </c>
      <c r="S61" s="1702"/>
      <c r="T61" s="1703"/>
      <c r="U61" s="2148">
        <f t="shared" si="64"/>
        <v>0</v>
      </c>
      <c r="V61" s="2149">
        <f t="shared" si="19"/>
        <v>0</v>
      </c>
      <c r="W61" s="1926">
        <f t="shared" si="20"/>
        <v>0</v>
      </c>
      <c r="X61" s="1702"/>
      <c r="Y61" s="1703"/>
      <c r="Z61" s="1702"/>
      <c r="AA61" s="1703">
        <f>'[18]16.โครงการ รายเดือน'!$BJ$20</f>
        <v>0</v>
      </c>
      <c r="AB61" s="1702"/>
      <c r="AC61" s="1703">
        <f>'[18]16.โครงการ รายเดือน'!$BK$20</f>
        <v>0</v>
      </c>
      <c r="AD61" s="2148">
        <f t="shared" si="21"/>
        <v>0</v>
      </c>
      <c r="AE61" s="2149">
        <f t="shared" si="6"/>
        <v>0</v>
      </c>
      <c r="AF61" s="1926">
        <f t="shared" si="25"/>
        <v>0</v>
      </c>
      <c r="AG61" s="1702"/>
      <c r="AH61" s="1703">
        <f>'[18]16.โครงการ รายเดือน'!$BL$20</f>
        <v>0</v>
      </c>
      <c r="AI61" s="1702"/>
      <c r="AJ61" s="1703">
        <f>'[18]16.โครงการ รายเดือน'!$BM$20</f>
        <v>0</v>
      </c>
      <c r="AK61" s="1702"/>
      <c r="AL61" s="1703">
        <f>'[18]16.โครงการ รายเดือน'!$BN$20</f>
        <v>0</v>
      </c>
      <c r="AM61" s="2148">
        <f t="shared" si="62"/>
        <v>0</v>
      </c>
      <c r="AN61" s="2149">
        <f t="shared" si="32"/>
        <v>0</v>
      </c>
      <c r="AO61" s="1926">
        <f t="shared" si="7"/>
        <v>0</v>
      </c>
      <c r="AP61" s="1698"/>
      <c r="AQ61" s="1699">
        <f>'[18]16.โครงการ รายเดือน'!$BO$20</f>
        <v>0</v>
      </c>
      <c r="AR61" s="1698"/>
      <c r="AS61" s="1699">
        <f>'[18]16.โครงการ รายเดือน'!$BP$20</f>
        <v>0</v>
      </c>
      <c r="AT61" s="1698"/>
      <c r="AU61" s="1699">
        <f>'[18]16.โครงการ รายเดือน'!$BQ$20</f>
        <v>0</v>
      </c>
      <c r="AV61" s="1794">
        <f t="shared" si="63"/>
        <v>0</v>
      </c>
      <c r="AW61" s="1795">
        <f t="shared" si="33"/>
        <v>0</v>
      </c>
      <c r="AX61" s="1796">
        <f t="shared" si="8"/>
        <v>0</v>
      </c>
      <c r="AY61" s="1829">
        <f t="shared" si="70"/>
        <v>0</v>
      </c>
      <c r="AZ61" s="2031">
        <f t="shared" si="9"/>
        <v>0</v>
      </c>
      <c r="BA61" s="1794">
        <f>G61+J61+M61+U61+AD61+AM61+AV61</f>
        <v>1500000</v>
      </c>
      <c r="BB61" s="1819">
        <f t="shared" si="78"/>
        <v>1500000</v>
      </c>
      <c r="BC61" s="1819">
        <f>BA61-BB61</f>
        <v>0</v>
      </c>
      <c r="BD61" s="2056"/>
      <c r="BE61" s="2047">
        <f t="shared" si="11"/>
        <v>0</v>
      </c>
      <c r="BF61" s="2046">
        <f t="shared" si="4"/>
        <v>0</v>
      </c>
    </row>
    <row r="62" spans="1:78" ht="36" customHeight="1" x14ac:dyDescent="0.35">
      <c r="A62" s="1652"/>
      <c r="B62" s="1683"/>
      <c r="C62" s="3340" t="s">
        <v>639</v>
      </c>
      <c r="D62" s="3341"/>
      <c r="E62" s="2184">
        <v>7703000</v>
      </c>
      <c r="F62" s="2185">
        <v>3941500</v>
      </c>
      <c r="G62" s="1884">
        <v>0</v>
      </c>
      <c r="H62" s="2151">
        <f>F62-G62</f>
        <v>3941500</v>
      </c>
      <c r="I62" s="1926">
        <v>1460800</v>
      </c>
      <c r="J62" s="2175">
        <f>1453000+3447300</f>
        <v>4900300</v>
      </c>
      <c r="K62" s="2151">
        <f t="shared" si="69"/>
        <v>-3439500</v>
      </c>
      <c r="L62" s="2042">
        <v>2300700</v>
      </c>
      <c r="M62" s="2151">
        <v>2034360</v>
      </c>
      <c r="N62" s="2151">
        <f t="shared" si="74"/>
        <v>266340</v>
      </c>
      <c r="O62" s="1702"/>
      <c r="P62" s="1703">
        <f>'[18]16.โครงการ รายเดือน'!$CV$20</f>
        <v>0</v>
      </c>
      <c r="Q62" s="1702"/>
      <c r="R62" s="1703">
        <f>'[18]16.โครงการ รายเดือน'!$CW$20</f>
        <v>0</v>
      </c>
      <c r="S62" s="1702">
        <v>770</v>
      </c>
      <c r="T62" s="1703">
        <f>'[18]สรุป สปข.รายเดือน'!$T$6</f>
        <v>770</v>
      </c>
      <c r="U62" s="2148">
        <f t="shared" si="64"/>
        <v>770</v>
      </c>
      <c r="V62" s="2149">
        <f t="shared" si="19"/>
        <v>770</v>
      </c>
      <c r="W62" s="1926">
        <f t="shared" si="20"/>
        <v>0</v>
      </c>
      <c r="X62" s="1702">
        <v>59370</v>
      </c>
      <c r="Y62" s="1703">
        <f>'[18]สรุป สปข.รายเดือน'!$T$7</f>
        <v>59370</v>
      </c>
      <c r="Z62" s="1702">
        <v>0</v>
      </c>
      <c r="AA62" s="1703">
        <f>'[18]16.โครงการ รายเดือน'!$CZ$20</f>
        <v>0</v>
      </c>
      <c r="AB62" s="1702">
        <v>1575</v>
      </c>
      <c r="AC62" s="1703">
        <f>'[18]16.โครงการ รายเดือน'!$DA$20</f>
        <v>1575</v>
      </c>
      <c r="AD62" s="2148">
        <f t="shared" si="21"/>
        <v>60945</v>
      </c>
      <c r="AE62" s="2149">
        <f t="shared" si="6"/>
        <v>60945</v>
      </c>
      <c r="AF62" s="1926">
        <f t="shared" si="25"/>
        <v>0</v>
      </c>
      <c r="AG62" s="1702">
        <v>700</v>
      </c>
      <c r="AH62" s="1703">
        <f>'[18]16.โครงการ รายเดือน'!$DB$20</f>
        <v>700</v>
      </c>
      <c r="AI62" s="1702">
        <v>0</v>
      </c>
      <c r="AJ62" s="1703">
        <f>'[18]16.โครงการ รายเดือน'!$DC$20</f>
        <v>0</v>
      </c>
      <c r="AK62" s="1702">
        <f>[22]อกม.!$C$10</f>
        <v>34200</v>
      </c>
      <c r="AL62" s="1703">
        <f>'[18]16.โครงการ รายเดือน'!$DD$20</f>
        <v>433874.3</v>
      </c>
      <c r="AM62" s="2148">
        <f t="shared" si="62"/>
        <v>34900</v>
      </c>
      <c r="AN62" s="2149">
        <f t="shared" si="32"/>
        <v>434574.3</v>
      </c>
      <c r="AO62" s="1926">
        <f t="shared" si="7"/>
        <v>-399674.3</v>
      </c>
      <c r="AP62" s="1698">
        <f>[22]อกม.!$D$10+438730</f>
        <v>671725</v>
      </c>
      <c r="AQ62" s="1699">
        <f>'[18]16.โครงการ รายเดือน'!$DE$20</f>
        <v>36594</v>
      </c>
      <c r="AR62" s="1698">
        <v>0</v>
      </c>
      <c r="AS62" s="1699">
        <f>'[18]16.โครงการ รายเดือน'!$DF$20</f>
        <v>14380</v>
      </c>
      <c r="AT62" s="1698">
        <v>0</v>
      </c>
      <c r="AU62" s="1699">
        <f>'[18]16.โครงการ รายเดือน'!$DG$20</f>
        <v>132490</v>
      </c>
      <c r="AV62" s="1794">
        <f t="shared" si="63"/>
        <v>671725</v>
      </c>
      <c r="AW62" s="1795">
        <f t="shared" si="33"/>
        <v>183464</v>
      </c>
      <c r="AX62" s="1796">
        <f t="shared" si="8"/>
        <v>488261</v>
      </c>
      <c r="AY62" s="1833">
        <f>H62-V62-AE62</f>
        <v>3879785</v>
      </c>
      <c r="AZ62" s="2031">
        <f>K62-AN62+AY62</f>
        <v>5710.7000000001863</v>
      </c>
      <c r="BA62" s="1794">
        <f>G62+J62+M62+U62+AD62+AM62+AV62</f>
        <v>7703000</v>
      </c>
      <c r="BB62" s="1819">
        <f t="shared" si="78"/>
        <v>7614413.2999999998</v>
      </c>
      <c r="BC62" s="1819">
        <f>E62-BB62</f>
        <v>88586.700000000186</v>
      </c>
      <c r="BD62" s="2056">
        <f>BA62-BB62</f>
        <v>88586.700000000186</v>
      </c>
      <c r="BE62" s="2047">
        <f t="shared" si="11"/>
        <v>0</v>
      </c>
      <c r="BF62" s="2046">
        <f t="shared" si="4"/>
        <v>679753.3</v>
      </c>
    </row>
    <row r="63" spans="1:78" ht="34.5" customHeight="1" thickBot="1" x14ac:dyDescent="0.4">
      <c r="A63" s="1652"/>
      <c r="B63" s="1683"/>
      <c r="C63" s="3340" t="s">
        <v>781</v>
      </c>
      <c r="D63" s="3341"/>
      <c r="E63" s="2186">
        <v>1500000</v>
      </c>
      <c r="F63" s="2188">
        <v>660000</v>
      </c>
      <c r="G63" s="2189">
        <v>658800</v>
      </c>
      <c r="H63" s="2151">
        <f>F63-G63</f>
        <v>1200</v>
      </c>
      <c r="I63" s="1926">
        <v>840000</v>
      </c>
      <c r="J63" s="2175">
        <v>814400</v>
      </c>
      <c r="K63" s="2151">
        <f t="shared" si="69"/>
        <v>25600</v>
      </c>
      <c r="L63" s="2042">
        <v>0</v>
      </c>
      <c r="M63" s="2151">
        <v>0</v>
      </c>
      <c r="N63" s="2151">
        <f t="shared" si="74"/>
        <v>0</v>
      </c>
      <c r="O63" s="1702"/>
      <c r="P63" s="1703"/>
      <c r="Q63" s="1702"/>
      <c r="R63" s="1703"/>
      <c r="S63" s="1702"/>
      <c r="T63" s="1703"/>
      <c r="U63" s="2148">
        <f t="shared" si="64"/>
        <v>0</v>
      </c>
      <c r="V63" s="2149">
        <f t="shared" si="19"/>
        <v>0</v>
      </c>
      <c r="W63" s="1926">
        <f t="shared" si="20"/>
        <v>0</v>
      </c>
      <c r="X63" s="1702"/>
      <c r="Y63" s="1703"/>
      <c r="Z63" s="1702">
        <f>[21]สกก!$F$107</f>
        <v>0</v>
      </c>
      <c r="AA63" s="1703"/>
      <c r="AB63" s="1702">
        <f>[21]สกก!$G$107</f>
        <v>3500</v>
      </c>
      <c r="AC63" s="1703"/>
      <c r="AD63" s="2148">
        <f t="shared" si="21"/>
        <v>3500</v>
      </c>
      <c r="AE63" s="2149">
        <f t="shared" si="6"/>
        <v>0</v>
      </c>
      <c r="AF63" s="1926">
        <f t="shared" si="25"/>
        <v>3500</v>
      </c>
      <c r="AG63" s="1702"/>
      <c r="AH63" s="1703"/>
      <c r="AI63" s="1702"/>
      <c r="AJ63" s="1703">
        <f>'[15]16.โครงการรายเดือน'!$BM$20</f>
        <v>16460</v>
      </c>
      <c r="AK63" s="1702">
        <f>[21]สกก!$J$107</f>
        <v>1000</v>
      </c>
      <c r="AL63" s="1703"/>
      <c r="AM63" s="2148">
        <f t="shared" si="62"/>
        <v>1000</v>
      </c>
      <c r="AN63" s="2149">
        <f t="shared" si="32"/>
        <v>16460</v>
      </c>
      <c r="AO63" s="1926">
        <f t="shared" si="7"/>
        <v>-15460</v>
      </c>
      <c r="AP63" s="1698"/>
      <c r="AQ63" s="1699"/>
      <c r="AR63" s="1698">
        <f>[21]สกก!$L$107</f>
        <v>15000</v>
      </c>
      <c r="AS63" s="1699"/>
      <c r="AT63" s="1698">
        <f>[21]สกก!$M$107</f>
        <v>7300</v>
      </c>
      <c r="AU63" s="1699"/>
      <c r="AV63" s="1794">
        <f t="shared" si="63"/>
        <v>22300</v>
      </c>
      <c r="AW63" s="1795">
        <f t="shared" si="33"/>
        <v>0</v>
      </c>
      <c r="AX63" s="1796">
        <f t="shared" si="8"/>
        <v>22300</v>
      </c>
      <c r="AY63" s="1833">
        <f t="shared" si="70"/>
        <v>1200</v>
      </c>
      <c r="AZ63" s="2032">
        <f>K63-AN63+AY63</f>
        <v>10340</v>
      </c>
      <c r="BA63" s="1794">
        <f>G63+J63+M63+U63+AD63+AM63+AV63</f>
        <v>1500000</v>
      </c>
      <c r="BB63" s="1819">
        <f t="shared" si="78"/>
        <v>1489660</v>
      </c>
      <c r="BC63" s="1819">
        <f>E63-BB63</f>
        <v>10340</v>
      </c>
      <c r="BD63" s="2056">
        <f>BA63-BB63</f>
        <v>10340</v>
      </c>
      <c r="BE63" s="2047">
        <f t="shared" si="11"/>
        <v>0</v>
      </c>
      <c r="BF63" s="2046">
        <f t="shared" si="4"/>
        <v>16460</v>
      </c>
      <c r="BG63" s="395" t="s">
        <v>669</v>
      </c>
      <c r="BH63" s="595"/>
      <c r="BI63" s="595"/>
      <c r="BJ63" s="595"/>
    </row>
    <row r="64" spans="1:78" ht="26.25" customHeight="1" thickBot="1" x14ac:dyDescent="0.4">
      <c r="A64" s="1687"/>
      <c r="B64" s="1689"/>
      <c r="C64" s="1688" t="s">
        <v>28</v>
      </c>
      <c r="D64" s="1686"/>
      <c r="E64" s="2190">
        <f>E5+E26+E42</f>
        <v>93769791</v>
      </c>
      <c r="F64" s="2191">
        <f>F5+F26+F43+F46+F48+F49+F52+F56+F57+F60</f>
        <v>65478550</v>
      </c>
      <c r="G64" s="2192">
        <f>G6+G42</f>
        <v>10938924</v>
      </c>
      <c r="H64" s="2193">
        <f>F64-G64</f>
        <v>54539626</v>
      </c>
      <c r="I64" s="2193">
        <f>I6+I26+I42</f>
        <v>4074423</v>
      </c>
      <c r="J64" s="2193">
        <f>J6+J42</f>
        <v>463503</v>
      </c>
      <c r="K64" s="2193">
        <f>K5+K26+K43+K46+K48+K49+K52+K56+K57+K60</f>
        <v>-3307036</v>
      </c>
      <c r="L64" s="2193">
        <f t="shared" ref="L64:T64" si="80">L6+L26+L42</f>
        <v>4750208</v>
      </c>
      <c r="M64" s="2193">
        <f t="shared" si="80"/>
        <v>83723</v>
      </c>
      <c r="N64" s="2193">
        <f t="shared" si="80"/>
        <v>4666485</v>
      </c>
      <c r="O64" s="2193">
        <f t="shared" si="80"/>
        <v>1706204</v>
      </c>
      <c r="P64" s="2193" t="e">
        <f t="shared" si="80"/>
        <v>#REF!</v>
      </c>
      <c r="Q64" s="2193">
        <f t="shared" si="80"/>
        <v>1733943</v>
      </c>
      <c r="R64" s="2193" t="e">
        <f t="shared" si="80"/>
        <v>#REF!</v>
      </c>
      <c r="S64" s="2193">
        <f t="shared" si="80"/>
        <v>2699322</v>
      </c>
      <c r="T64" s="2193" t="e">
        <f t="shared" si="80"/>
        <v>#REF!</v>
      </c>
      <c r="U64" s="2193">
        <f ca="1">U6+U42+U26</f>
        <v>7146369</v>
      </c>
      <c r="V64" s="2193" t="e">
        <f>V6+V26+V42</f>
        <v>#REF!</v>
      </c>
      <c r="W64" s="2193">
        <f t="shared" ca="1" si="20"/>
        <v>1966593.4499999993</v>
      </c>
      <c r="X64" s="2193">
        <f t="shared" ref="X64:AE64" si="81">X6+X26+X42</f>
        <v>1725267</v>
      </c>
      <c r="Y64" s="2193" t="e">
        <f t="shared" si="81"/>
        <v>#REF!</v>
      </c>
      <c r="Z64" s="2193">
        <f t="shared" si="81"/>
        <v>3701837</v>
      </c>
      <c r="AA64" s="2193" t="e">
        <f t="shared" si="81"/>
        <v>#REF!</v>
      </c>
      <c r="AB64" s="2193">
        <f t="shared" si="81"/>
        <v>23621053</v>
      </c>
      <c r="AC64" s="2193" t="e">
        <f t="shared" si="81"/>
        <v>#REF!</v>
      </c>
      <c r="AD64" s="2193">
        <f t="shared" si="81"/>
        <v>29048157</v>
      </c>
      <c r="AE64" s="2193" t="e">
        <f t="shared" si="81"/>
        <v>#REF!</v>
      </c>
      <c r="AF64" s="2193" t="e">
        <f>AD64-AE64</f>
        <v>#REF!</v>
      </c>
      <c r="AG64" s="2193"/>
      <c r="AH64" s="2193"/>
      <c r="AI64" s="2193"/>
      <c r="AJ64" s="2193"/>
      <c r="AK64" s="2193"/>
      <c r="AL64" s="2193"/>
      <c r="AM64" s="2193"/>
      <c r="AN64" s="2193"/>
      <c r="AO64" s="2193"/>
      <c r="AP64" s="1736"/>
      <c r="AQ64" s="1736"/>
      <c r="AR64" s="1736"/>
      <c r="AS64" s="1736"/>
      <c r="AT64" s="1736"/>
      <c r="AU64" s="1736"/>
      <c r="AV64" s="1736"/>
      <c r="AW64" s="1736"/>
      <c r="AX64" s="1736"/>
      <c r="AY64" s="1834" t="e">
        <f>AY6+AY26+AY42</f>
        <v>#REF!</v>
      </c>
      <c r="AZ64" s="2033"/>
      <c r="BA64" s="1736">
        <f>BA6+BA26+BA42</f>
        <v>94337277</v>
      </c>
      <c r="BB64" s="1736" t="e">
        <f>BB6+BB26+BB42</f>
        <v>#REF!</v>
      </c>
      <c r="BC64" s="1736" t="e">
        <f>BC6+BC26+BC42</f>
        <v>#REF!</v>
      </c>
      <c r="BD64" s="1825"/>
      <c r="BE64" s="1825"/>
      <c r="BF64" s="1825"/>
    </row>
    <row r="65" spans="1:58" ht="26.25" customHeight="1" x14ac:dyDescent="0.35">
      <c r="A65" s="1821"/>
      <c r="B65" s="1821"/>
      <c r="C65" s="1822"/>
      <c r="D65" s="1823"/>
      <c r="E65" s="2194"/>
      <c r="F65" s="2194"/>
      <c r="G65" s="2194"/>
      <c r="H65" s="2195"/>
      <c r="I65" s="2195"/>
      <c r="J65" s="2195"/>
      <c r="K65" s="2195"/>
      <c r="L65" s="2195"/>
      <c r="M65" s="2195"/>
      <c r="N65" s="2195"/>
      <c r="O65" s="2195"/>
      <c r="P65" s="2195"/>
      <c r="Q65" s="2195"/>
      <c r="R65" s="2195"/>
      <c r="S65" s="2195"/>
      <c r="T65" s="2195"/>
      <c r="U65" s="2195"/>
      <c r="V65" s="2195"/>
      <c r="W65" s="2195"/>
      <c r="X65" s="2195"/>
      <c r="Y65" s="2195"/>
      <c r="Z65" s="2195"/>
      <c r="AA65" s="2195"/>
      <c r="AB65" s="2195"/>
      <c r="AC65" s="2195"/>
      <c r="AD65" s="2195"/>
      <c r="AE65" s="2195"/>
      <c r="AF65" s="2195"/>
      <c r="AG65" s="2195"/>
      <c r="AH65" s="2195"/>
      <c r="AI65" s="2195"/>
      <c r="AJ65" s="2195"/>
      <c r="AK65" s="2195"/>
      <c r="AL65" s="2195"/>
      <c r="AM65" s="2195"/>
      <c r="AN65" s="2195"/>
      <c r="AO65" s="2195"/>
      <c r="AP65" s="1825"/>
      <c r="AQ65" s="1825"/>
      <c r="AR65" s="1825"/>
      <c r="AS65" s="1825"/>
      <c r="AT65" s="1825"/>
      <c r="AU65" s="1825"/>
      <c r="AV65" s="1825"/>
      <c r="AW65" s="1825"/>
      <c r="AX65" s="1825"/>
      <c r="AY65" s="1825"/>
      <c r="AZ65" s="1825"/>
      <c r="BA65" s="1825"/>
      <c r="BB65" s="1825"/>
      <c r="BC65" s="1825"/>
      <c r="BD65" s="1825"/>
      <c r="BE65" s="1825"/>
      <c r="BF65" s="1825"/>
    </row>
    <row r="66" spans="1:58" ht="16.5" customHeight="1" x14ac:dyDescent="0.3">
      <c r="V66" s="2198"/>
      <c r="X66" s="2198"/>
      <c r="BB66" s="1774" t="s">
        <v>675</v>
      </c>
      <c r="BC66" s="1775">
        <f ca="1">TODAY()</f>
        <v>45660</v>
      </c>
      <c r="BD66" s="1775"/>
      <c r="BE66" s="1775"/>
      <c r="BF66" s="1775"/>
    </row>
    <row r="67" spans="1:58" ht="16.5" customHeight="1" x14ac:dyDescent="0.3">
      <c r="D67" s="1618" t="s">
        <v>18</v>
      </c>
      <c r="U67" s="472" t="s">
        <v>697</v>
      </c>
      <c r="V67" s="472"/>
      <c r="W67" s="472"/>
    </row>
    <row r="68" spans="1:58" ht="16.5" customHeight="1" x14ac:dyDescent="0.3">
      <c r="D68" s="1091" t="s">
        <v>647</v>
      </c>
      <c r="E68" s="472">
        <v>373280</v>
      </c>
      <c r="F68" s="472"/>
      <c r="G68" s="472" t="s">
        <v>646</v>
      </c>
      <c r="H68" s="1744">
        <f>E68*12</f>
        <v>4479360</v>
      </c>
      <c r="I68" s="1744"/>
      <c r="J68" s="1744"/>
      <c r="K68" s="1744"/>
      <c r="L68" s="1744"/>
      <c r="M68" s="1744"/>
      <c r="N68" s="1744"/>
      <c r="O68" s="932" t="s">
        <v>698</v>
      </c>
      <c r="P68" s="2199"/>
      <c r="Q68" s="932"/>
      <c r="R68" s="2199" t="s">
        <v>699</v>
      </c>
      <c r="U68" s="472" t="s">
        <v>691</v>
      </c>
      <c r="V68" s="472">
        <v>49000</v>
      </c>
      <c r="W68" s="472"/>
    </row>
    <row r="69" spans="1:58" ht="16.5" customHeight="1" x14ac:dyDescent="0.3">
      <c r="D69" s="1091" t="s">
        <v>644</v>
      </c>
      <c r="E69" s="472">
        <v>82000</v>
      </c>
      <c r="F69" s="472"/>
      <c r="G69" s="472" t="s">
        <v>646</v>
      </c>
      <c r="H69" s="1744">
        <f>E69*12</f>
        <v>984000</v>
      </c>
      <c r="I69" s="1744"/>
      <c r="J69" s="1744"/>
      <c r="K69" s="1744"/>
      <c r="L69" s="1744"/>
      <c r="M69" s="1744"/>
      <c r="N69" s="1744"/>
      <c r="U69" s="472" t="s">
        <v>692</v>
      </c>
      <c r="V69" s="472">
        <v>855700</v>
      </c>
      <c r="W69" s="472"/>
    </row>
    <row r="70" spans="1:58" ht="16.5" customHeight="1" x14ac:dyDescent="0.3">
      <c r="D70" s="1091" t="s">
        <v>645</v>
      </c>
      <c r="E70" s="472">
        <v>11000</v>
      </c>
      <c r="F70" s="472"/>
      <c r="G70" s="472"/>
      <c r="H70" s="1744">
        <f>E70</f>
        <v>11000</v>
      </c>
      <c r="I70" s="1744"/>
      <c r="J70" s="1744"/>
      <c r="K70" s="1744"/>
      <c r="L70" s="1744"/>
      <c r="M70" s="1744"/>
      <c r="N70" s="1744"/>
      <c r="O70" s="395" t="s">
        <v>674</v>
      </c>
      <c r="U70" s="472" t="s">
        <v>693</v>
      </c>
      <c r="V70" s="472">
        <v>123000</v>
      </c>
      <c r="W70" s="472"/>
    </row>
    <row r="71" spans="1:58" ht="16.5" customHeight="1" thickBot="1" x14ac:dyDescent="0.35">
      <c r="D71" s="1091"/>
      <c r="E71" s="472"/>
      <c r="F71" s="472"/>
      <c r="G71" s="472"/>
      <c r="H71" s="2200">
        <f>SUM(H68:H70)</f>
        <v>5474360</v>
      </c>
      <c r="I71" s="2201"/>
      <c r="J71" s="2201"/>
      <c r="K71" s="2201"/>
      <c r="L71" s="2201"/>
      <c r="M71" s="2201"/>
      <c r="N71" s="2201"/>
      <c r="U71" s="472" t="s">
        <v>694</v>
      </c>
      <c r="V71" s="472">
        <v>49000</v>
      </c>
      <c r="W71" s="472"/>
    </row>
    <row r="72" spans="1:58" ht="16.5" customHeight="1" thickTop="1" x14ac:dyDescent="0.3">
      <c r="D72" s="1091" t="s">
        <v>650</v>
      </c>
      <c r="E72" s="472">
        <v>13800</v>
      </c>
      <c r="F72" s="472"/>
      <c r="G72" s="472" t="s">
        <v>646</v>
      </c>
      <c r="H72" s="1744">
        <f>E72*12</f>
        <v>165600</v>
      </c>
      <c r="I72" s="1744"/>
      <c r="J72" s="1744"/>
      <c r="K72" s="1744"/>
      <c r="L72" s="1744"/>
      <c r="M72" s="1744"/>
      <c r="N72" s="1744"/>
      <c r="U72" s="472" t="s">
        <v>695</v>
      </c>
      <c r="V72" s="472">
        <v>13200</v>
      </c>
      <c r="W72" s="472"/>
    </row>
    <row r="73" spans="1:58" ht="26.25" customHeight="1" x14ac:dyDescent="0.3">
      <c r="U73" s="472" t="s">
        <v>696</v>
      </c>
      <c r="V73" s="472">
        <v>7900</v>
      </c>
      <c r="W73" s="472"/>
    </row>
    <row r="74" spans="1:58" ht="19.5" thickBot="1" x14ac:dyDescent="0.35">
      <c r="U74" s="472" t="s">
        <v>28</v>
      </c>
      <c r="V74" s="2202">
        <f>SUM(V68:V73)</f>
        <v>1097800</v>
      </c>
      <c r="W74" s="472"/>
    </row>
    <row r="75" spans="1:58" ht="19.5" thickTop="1" x14ac:dyDescent="0.3">
      <c r="D75" s="1091" t="s">
        <v>627</v>
      </c>
      <c r="E75" s="2203" t="s">
        <v>651</v>
      </c>
      <c r="F75" s="2203"/>
      <c r="G75" s="2203" t="s">
        <v>652</v>
      </c>
      <c r="H75" s="2204" t="s">
        <v>653</v>
      </c>
      <c r="I75" s="2204"/>
      <c r="J75" s="2204"/>
      <c r="K75" s="2204"/>
      <c r="L75" s="2204"/>
      <c r="M75" s="2204"/>
      <c r="N75" s="2204"/>
      <c r="O75" s="2205" t="s">
        <v>654</v>
      </c>
      <c r="P75" s="2206" t="s">
        <v>28</v>
      </c>
      <c r="Q75" s="826" t="s">
        <v>687</v>
      </c>
      <c r="R75" s="826" t="s">
        <v>686</v>
      </c>
      <c r="S75" s="826" t="s">
        <v>688</v>
      </c>
      <c r="T75" s="2207" t="s">
        <v>16</v>
      </c>
    </row>
    <row r="76" spans="1:58" ht="18.75" x14ac:dyDescent="0.3">
      <c r="D76" s="1657" t="s">
        <v>6</v>
      </c>
      <c r="E76" s="472">
        <f>181800-150000</f>
        <v>31800</v>
      </c>
      <c r="F76" s="472"/>
      <c r="G76" s="472">
        <v>221800</v>
      </c>
      <c r="H76" s="1763">
        <v>221800</v>
      </c>
      <c r="I76" s="1921"/>
      <c r="J76" s="1921"/>
      <c r="K76" s="1921"/>
      <c r="L76" s="1921"/>
      <c r="M76" s="1921"/>
      <c r="N76" s="1921"/>
      <c r="O76" s="472">
        <v>181800</v>
      </c>
      <c r="P76" s="826">
        <f t="shared" ref="P76:P85" si="82">SUM(E76:O76)</f>
        <v>657200</v>
      </c>
      <c r="Q76" s="826">
        <v>181800</v>
      </c>
      <c r="R76" s="826">
        <v>150000</v>
      </c>
      <c r="S76" s="826">
        <v>775400</v>
      </c>
      <c r="T76" s="1744">
        <f>S76-R76</f>
        <v>625400</v>
      </c>
      <c r="U76" s="1805">
        <f>775400-150000-100400</f>
        <v>525000</v>
      </c>
    </row>
    <row r="77" spans="1:58" ht="18.75" x14ac:dyDescent="0.3">
      <c r="D77" s="1658" t="s">
        <v>2</v>
      </c>
      <c r="E77" s="472">
        <v>2000</v>
      </c>
      <c r="F77" s="472"/>
      <c r="G77" s="472">
        <v>3000</v>
      </c>
      <c r="H77" s="1763">
        <v>3000</v>
      </c>
      <c r="I77" s="1921"/>
      <c r="J77" s="1921"/>
      <c r="K77" s="1921"/>
      <c r="L77" s="1921"/>
      <c r="M77" s="1921"/>
      <c r="N77" s="1921"/>
      <c r="O77" s="472">
        <v>2000</v>
      </c>
      <c r="P77" s="826">
        <f t="shared" si="82"/>
        <v>10000</v>
      </c>
      <c r="Q77" s="826">
        <v>2000</v>
      </c>
      <c r="R77" s="826"/>
      <c r="S77" s="826">
        <v>6000</v>
      </c>
      <c r="T77" s="1744">
        <f t="shared" ref="T77:T85" si="83">S77-R77</f>
        <v>6000</v>
      </c>
      <c r="U77" s="1677">
        <f>2000+3000+3000+2000-4000</f>
        <v>6000</v>
      </c>
    </row>
    <row r="78" spans="1:58" ht="18.75" x14ac:dyDescent="0.3">
      <c r="D78" s="1658" t="s">
        <v>1</v>
      </c>
      <c r="E78" s="472">
        <f>59140-10000</f>
        <v>49140</v>
      </c>
      <c r="F78" s="472"/>
      <c r="G78" s="472">
        <v>136400</v>
      </c>
      <c r="H78" s="1763">
        <v>138840</v>
      </c>
      <c r="I78" s="1921"/>
      <c r="J78" s="1921"/>
      <c r="K78" s="1921"/>
      <c r="L78" s="1921"/>
      <c r="M78" s="1921"/>
      <c r="N78" s="1921"/>
      <c r="O78" s="472">
        <v>114160</v>
      </c>
      <c r="P78" s="826">
        <f t="shared" si="82"/>
        <v>438540</v>
      </c>
      <c r="Q78" s="826">
        <v>59140</v>
      </c>
      <c r="R78" s="826">
        <v>10000</v>
      </c>
      <c r="S78" s="826">
        <v>294218</v>
      </c>
      <c r="T78" s="1744">
        <f t="shared" si="83"/>
        <v>284218</v>
      </c>
      <c r="U78" s="1677">
        <f>294218-10000</f>
        <v>284218</v>
      </c>
    </row>
    <row r="79" spans="1:58" ht="18.75" x14ac:dyDescent="0.3">
      <c r="D79" s="1658" t="s">
        <v>3</v>
      </c>
      <c r="E79" s="472">
        <v>11500</v>
      </c>
      <c r="F79" s="472"/>
      <c r="G79" s="472">
        <v>16500</v>
      </c>
      <c r="H79" s="1763">
        <v>38125</v>
      </c>
      <c r="I79" s="1921"/>
      <c r="J79" s="1921"/>
      <c r="K79" s="1921"/>
      <c r="L79" s="1921"/>
      <c r="M79" s="1921"/>
      <c r="N79" s="1921"/>
      <c r="O79" s="1744">
        <v>11500</v>
      </c>
      <c r="P79" s="826">
        <f t="shared" si="82"/>
        <v>77625</v>
      </c>
      <c r="Q79" s="826">
        <v>11500</v>
      </c>
      <c r="R79" s="826"/>
      <c r="S79" s="826">
        <v>77000</v>
      </c>
      <c r="T79" s="1744">
        <f t="shared" si="83"/>
        <v>77000</v>
      </c>
      <c r="U79" s="1677">
        <f>11500+16500+38125+11500-625</f>
        <v>77000</v>
      </c>
    </row>
    <row r="80" spans="1:58" ht="18.75" x14ac:dyDescent="0.3">
      <c r="D80" s="1658" t="s">
        <v>24</v>
      </c>
      <c r="E80" s="472">
        <f>91500-10000</f>
        <v>81500</v>
      </c>
      <c r="F80" s="472"/>
      <c r="G80" s="472">
        <v>269500</v>
      </c>
      <c r="H80" s="1763">
        <v>338000</v>
      </c>
      <c r="I80" s="1921"/>
      <c r="J80" s="1921"/>
      <c r="K80" s="1921"/>
      <c r="L80" s="1921"/>
      <c r="M80" s="1921"/>
      <c r="N80" s="1921"/>
      <c r="O80" s="1744">
        <v>201000</v>
      </c>
      <c r="P80" s="826">
        <f t="shared" si="82"/>
        <v>890000</v>
      </c>
      <c r="Q80" s="826">
        <v>91500</v>
      </c>
      <c r="R80" s="826">
        <v>10000</v>
      </c>
      <c r="S80" s="826">
        <v>740000</v>
      </c>
      <c r="T80" s="1744">
        <f t="shared" si="83"/>
        <v>730000</v>
      </c>
      <c r="U80" s="1677">
        <f>740000-10000</f>
        <v>730000</v>
      </c>
      <c r="W80" s="472"/>
    </row>
    <row r="81" spans="4:21" ht="18.75" x14ac:dyDescent="0.3">
      <c r="D81" s="1658" t="s">
        <v>23</v>
      </c>
      <c r="E81" s="472">
        <f>435900-200000</f>
        <v>235900</v>
      </c>
      <c r="F81" s="472"/>
      <c r="G81" s="472">
        <v>219125</v>
      </c>
      <c r="H81" s="1763">
        <v>172525</v>
      </c>
      <c r="I81" s="1921"/>
      <c r="J81" s="1921"/>
      <c r="K81" s="1921"/>
      <c r="L81" s="1921"/>
      <c r="M81" s="1921"/>
      <c r="N81" s="1921"/>
      <c r="O81" s="1744">
        <v>67350</v>
      </c>
      <c r="P81" s="826">
        <f t="shared" si="82"/>
        <v>694900</v>
      </c>
      <c r="Q81" s="826">
        <v>435900</v>
      </c>
      <c r="R81" s="826">
        <v>200000</v>
      </c>
      <c r="S81" s="826">
        <v>741900</v>
      </c>
      <c r="T81" s="1744">
        <f t="shared" si="83"/>
        <v>541900</v>
      </c>
      <c r="U81" s="1677">
        <f>741900-200000</f>
        <v>541900</v>
      </c>
    </row>
    <row r="82" spans="4:21" ht="18.75" x14ac:dyDescent="0.3">
      <c r="D82" s="1658" t="s">
        <v>4</v>
      </c>
      <c r="E82" s="472">
        <v>30000</v>
      </c>
      <c r="F82" s="472"/>
      <c r="G82" s="472">
        <v>30000</v>
      </c>
      <c r="H82" s="1763">
        <v>67000</v>
      </c>
      <c r="I82" s="1921"/>
      <c r="J82" s="1921"/>
      <c r="K82" s="1921"/>
      <c r="L82" s="1921"/>
      <c r="M82" s="1921"/>
      <c r="N82" s="1921"/>
      <c r="O82" s="1744">
        <v>52000</v>
      </c>
      <c r="P82" s="826">
        <f t="shared" si="82"/>
        <v>179000</v>
      </c>
      <c r="Q82" s="826">
        <v>30000</v>
      </c>
      <c r="R82" s="826"/>
      <c r="S82" s="826">
        <v>147000</v>
      </c>
      <c r="T82" s="1744">
        <f t="shared" si="83"/>
        <v>147000</v>
      </c>
      <c r="U82" s="1677">
        <f>147000</f>
        <v>147000</v>
      </c>
    </row>
    <row r="83" spans="4:21" ht="18.75" x14ac:dyDescent="0.3">
      <c r="D83" s="1658" t="s">
        <v>20</v>
      </c>
      <c r="E83" s="472">
        <f>50200-10000</f>
        <v>40200</v>
      </c>
      <c r="F83" s="472"/>
      <c r="G83" s="472">
        <v>240200</v>
      </c>
      <c r="H83" s="1763">
        <v>160200</v>
      </c>
      <c r="I83" s="1921"/>
      <c r="J83" s="1921"/>
      <c r="K83" s="1921"/>
      <c r="L83" s="1921"/>
      <c r="M83" s="1921"/>
      <c r="N83" s="1921"/>
      <c r="O83" s="1744">
        <v>170200</v>
      </c>
      <c r="P83" s="826">
        <f t="shared" si="82"/>
        <v>610800</v>
      </c>
      <c r="Q83" s="826">
        <v>50200</v>
      </c>
      <c r="R83" s="826">
        <v>10000</v>
      </c>
      <c r="S83" s="2208">
        <v>500800</v>
      </c>
      <c r="T83" s="1744">
        <f t="shared" si="83"/>
        <v>490800</v>
      </c>
      <c r="U83" s="1677">
        <f>500800-10000</f>
        <v>490800</v>
      </c>
    </row>
    <row r="84" spans="4:21" ht="18.75" x14ac:dyDescent="0.3">
      <c r="D84" s="1659" t="s">
        <v>5</v>
      </c>
      <c r="E84" s="472">
        <f>121525-20000</f>
        <v>101525</v>
      </c>
      <c r="F84" s="472"/>
      <c r="G84" s="472">
        <v>58520</v>
      </c>
      <c r="H84" s="1763">
        <v>100970</v>
      </c>
      <c r="I84" s="1921"/>
      <c r="J84" s="1921"/>
      <c r="K84" s="1921"/>
      <c r="L84" s="1921"/>
      <c r="M84" s="1921"/>
      <c r="N84" s="1921"/>
      <c r="O84" s="1744">
        <v>99350</v>
      </c>
      <c r="P84" s="826">
        <f t="shared" si="82"/>
        <v>360365</v>
      </c>
      <c r="Q84" s="826">
        <v>121525</v>
      </c>
      <c r="R84" s="826">
        <v>20000</v>
      </c>
      <c r="S84" s="826">
        <v>307610</v>
      </c>
      <c r="T84" s="1744">
        <f t="shared" si="83"/>
        <v>287610</v>
      </c>
      <c r="U84" s="1677">
        <f>307610-20000</f>
        <v>287610</v>
      </c>
    </row>
    <row r="85" spans="4:21" ht="18.75" x14ac:dyDescent="0.3">
      <c r="D85" s="1658" t="s">
        <v>21</v>
      </c>
      <c r="E85" s="472">
        <f>38000-20000</f>
        <v>18000</v>
      </c>
      <c r="F85" s="472"/>
      <c r="G85" s="472">
        <v>58000</v>
      </c>
      <c r="H85" s="1763">
        <v>43000</v>
      </c>
      <c r="I85" s="1921"/>
      <c r="J85" s="1921"/>
      <c r="K85" s="1921"/>
      <c r="L85" s="1921"/>
      <c r="M85" s="1921"/>
      <c r="N85" s="1921"/>
      <c r="O85" s="1744">
        <v>3000</v>
      </c>
      <c r="P85" s="826">
        <f t="shared" si="82"/>
        <v>122000</v>
      </c>
      <c r="Q85" s="826">
        <v>38000</v>
      </c>
      <c r="R85" s="826">
        <v>20000</v>
      </c>
      <c r="S85" s="826">
        <v>266000</v>
      </c>
      <c r="T85" s="1744">
        <f t="shared" si="83"/>
        <v>246000</v>
      </c>
      <c r="U85" s="1677">
        <f>266000-20000</f>
        <v>246000</v>
      </c>
    </row>
    <row r="86" spans="4:21" ht="26.25" customHeight="1" thickBot="1" x14ac:dyDescent="0.35">
      <c r="E86" s="2209">
        <f t="shared" ref="E86:U86" si="84">SUM(E76:E85)</f>
        <v>601565</v>
      </c>
      <c r="F86" s="2209"/>
      <c r="G86" s="2209">
        <f t="shared" si="84"/>
        <v>1253045</v>
      </c>
      <c r="H86" s="2210">
        <f t="shared" si="84"/>
        <v>1283460</v>
      </c>
      <c r="I86" s="2210"/>
      <c r="J86" s="2210"/>
      <c r="K86" s="2210"/>
      <c r="L86" s="2210"/>
      <c r="M86" s="2210"/>
      <c r="N86" s="2210"/>
      <c r="O86" s="2210">
        <f t="shared" si="84"/>
        <v>902360</v>
      </c>
      <c r="P86" s="2202">
        <f t="shared" si="84"/>
        <v>4040430</v>
      </c>
      <c r="Q86" s="2202">
        <f t="shared" si="84"/>
        <v>1021565</v>
      </c>
      <c r="R86" s="2202">
        <f t="shared" si="84"/>
        <v>420000</v>
      </c>
      <c r="S86" s="2202">
        <f t="shared" si="84"/>
        <v>3855928</v>
      </c>
      <c r="T86" s="2207">
        <f t="shared" si="84"/>
        <v>3435928</v>
      </c>
      <c r="U86" s="932">
        <f t="shared" si="84"/>
        <v>3335528</v>
      </c>
    </row>
    <row r="87" spans="4:21" ht="26.25" customHeight="1" thickTop="1" x14ac:dyDescent="0.3"/>
  </sheetData>
  <mergeCells count="54">
    <mergeCell ref="C62:D62"/>
    <mergeCell ref="C63:D63"/>
    <mergeCell ref="C49:D49"/>
    <mergeCell ref="C52:D52"/>
    <mergeCell ref="C56:D56"/>
    <mergeCell ref="C57:D57"/>
    <mergeCell ref="B60:D60"/>
    <mergeCell ref="C61:D61"/>
    <mergeCell ref="C48:D48"/>
    <mergeCell ref="B33:D33"/>
    <mergeCell ref="B34:D34"/>
    <mergeCell ref="A35:D35"/>
    <mergeCell ref="B36:D36"/>
    <mergeCell ref="B37:D37"/>
    <mergeCell ref="C38:D38"/>
    <mergeCell ref="C39:D39"/>
    <mergeCell ref="C40:D40"/>
    <mergeCell ref="C41:D41"/>
    <mergeCell ref="B46:D46"/>
    <mergeCell ref="B47:D47"/>
    <mergeCell ref="AY3:AY4"/>
    <mergeCell ref="AZ3:AZ4"/>
    <mergeCell ref="BC3:BC4"/>
    <mergeCell ref="BD3:BD4"/>
    <mergeCell ref="BE3:BE4"/>
    <mergeCell ref="A27:D27"/>
    <mergeCell ref="AK3:AL3"/>
    <mergeCell ref="AM3:AO3"/>
    <mergeCell ref="AP3:AQ3"/>
    <mergeCell ref="AR3:AS3"/>
    <mergeCell ref="M3:M4"/>
    <mergeCell ref="N3:N4"/>
    <mergeCell ref="O3:P3"/>
    <mergeCell ref="Q3:R3"/>
    <mergeCell ref="S3:T3"/>
    <mergeCell ref="U3:W3"/>
    <mergeCell ref="AT3:AU3"/>
    <mergeCell ref="AV3:AX3"/>
    <mergeCell ref="X3:Y3"/>
    <mergeCell ref="Z3:AA3"/>
    <mergeCell ref="AB3:AC3"/>
    <mergeCell ref="AD3:AF3"/>
    <mergeCell ref="AG3:AH3"/>
    <mergeCell ref="AI3:AJ3"/>
    <mergeCell ref="A1:AF1"/>
    <mergeCell ref="A3:D4"/>
    <mergeCell ref="E3:E4"/>
    <mergeCell ref="F3:F4"/>
    <mergeCell ref="G3:G4"/>
    <mergeCell ref="H3:H4"/>
    <mergeCell ref="I3:I4"/>
    <mergeCell ref="J3:J4"/>
    <mergeCell ref="K3:K4"/>
    <mergeCell ref="L3:L4"/>
  </mergeCells>
  <pageMargins left="0.23622047244094491" right="0.23622047244094491" top="0.35433070866141736" bottom="0.35433070866141736" header="0.31496062992125984" footer="0.31496062992125984"/>
  <pageSetup paperSize="9" scale="5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78693-9398-4295-9F78-40D617991008}">
  <sheetPr>
    <tabColor rgb="FFFFFF00"/>
  </sheetPr>
  <dimension ref="A1:AK54"/>
  <sheetViews>
    <sheetView view="pageBreakPreview" zoomScaleNormal="100" zoomScaleSheetLayoutView="100" workbookViewId="0">
      <pane xSplit="5" ySplit="3" topLeftCell="O4" activePane="bottomRight" state="frozen"/>
      <selection pane="topRight" activeCell="F1" sqref="F1"/>
      <selection pane="bottomLeft" activeCell="A4" sqref="A4"/>
      <selection pane="bottomRight" activeCell="T8" sqref="T8"/>
    </sheetView>
  </sheetViews>
  <sheetFormatPr defaultColWidth="9" defaultRowHeight="26.25" customHeight="1" x14ac:dyDescent="0.3"/>
  <cols>
    <col min="1" max="1" width="2.28515625" style="1062" customWidth="1"/>
    <col min="2" max="2" width="2.42578125" style="1062" customWidth="1"/>
    <col min="3" max="3" width="3" style="1062" customWidth="1"/>
    <col min="4" max="4" width="20" style="1062" customWidth="1"/>
    <col min="5" max="5" width="12.28515625" style="395" customWidth="1"/>
    <col min="6" max="7" width="12.85546875" style="395" hidden="1" customWidth="1"/>
    <col min="8" max="9" width="13" style="2196" hidden="1" customWidth="1"/>
    <col min="10" max="10" width="11.7109375" style="2196" hidden="1" customWidth="1"/>
    <col min="11" max="12" width="13" style="2196" hidden="1" customWidth="1"/>
    <col min="13" max="13" width="13.28515625" style="2196" hidden="1" customWidth="1"/>
    <col min="14" max="14" width="12.42578125" style="2196" hidden="1" customWidth="1"/>
    <col min="15" max="15" width="10.28515625" style="416" customWidth="1"/>
    <col min="16" max="16" width="10" style="2395" customWidth="1"/>
    <col min="17" max="17" width="9.85546875" style="395" customWidth="1"/>
    <col min="18" max="18" width="10.140625" style="2395" customWidth="1"/>
    <col min="19" max="19" width="10.7109375" style="395" customWidth="1"/>
    <col min="20" max="20" width="10.7109375" style="2395" customWidth="1"/>
    <col min="21" max="21" width="10.7109375" style="395" customWidth="1"/>
    <col min="22" max="22" width="9.85546875" style="596" customWidth="1"/>
    <col min="23" max="23" width="10.7109375" style="395" customWidth="1"/>
    <col min="24" max="24" width="10.7109375" style="596" customWidth="1"/>
    <col min="25" max="25" width="11.5703125" style="395" customWidth="1"/>
    <col min="26" max="26" width="10.7109375" style="596" customWidth="1"/>
    <col min="27" max="27" width="11.85546875" style="2197" customWidth="1"/>
    <col min="28" max="28" width="10.7109375" style="2395" customWidth="1"/>
    <col min="29" max="29" width="10.85546875" style="2197" customWidth="1"/>
    <col min="30" max="30" width="9.5703125" style="2395" customWidth="1"/>
    <col min="31" max="31" width="10.85546875" style="2197" customWidth="1"/>
    <col min="32" max="32" width="10.7109375" style="2197" customWidth="1"/>
    <col min="33" max="33" width="10.85546875" style="2395" customWidth="1"/>
    <col min="34" max="34" width="8.7109375" style="2409" customWidth="1"/>
    <col min="35" max="35" width="11" style="366" customWidth="1"/>
    <col min="36" max="36" width="13.5703125" style="395" bestFit="1" customWidth="1"/>
    <col min="37" max="37" width="9" style="1125"/>
    <col min="38" max="16384" width="9" style="1062"/>
  </cols>
  <sheetData>
    <row r="1" spans="1:37" ht="20.25" customHeight="1" thickBot="1" x14ac:dyDescent="0.35">
      <c r="A1" s="3412" t="s">
        <v>874</v>
      </c>
      <c r="B1" s="3413"/>
      <c r="C1" s="3413"/>
      <c r="D1" s="3413"/>
      <c r="E1" s="3413"/>
      <c r="F1" s="3413"/>
      <c r="G1" s="3413"/>
      <c r="H1" s="3413"/>
      <c r="I1" s="3413"/>
      <c r="J1" s="3413"/>
      <c r="K1" s="3413"/>
      <c r="L1" s="3413"/>
      <c r="M1" s="3413"/>
      <c r="N1" s="3413"/>
      <c r="O1" s="3413"/>
      <c r="P1" s="3413"/>
      <c r="Q1" s="3413"/>
      <c r="R1" s="3413"/>
      <c r="S1" s="3413"/>
      <c r="T1" s="3413"/>
      <c r="U1" s="3413"/>
      <c r="V1" s="3413"/>
      <c r="W1" s="3413"/>
      <c r="X1" s="3413"/>
      <c r="Y1" s="3413"/>
      <c r="Z1" s="3413"/>
      <c r="AA1" s="3413"/>
      <c r="AB1" s="3413"/>
      <c r="AC1" s="3413"/>
      <c r="AD1" s="3413"/>
      <c r="AE1" s="3413"/>
      <c r="AF1" s="3413"/>
      <c r="AG1" s="3414"/>
    </row>
    <row r="2" spans="1:37" ht="19.5" customHeight="1" x14ac:dyDescent="0.3">
      <c r="A2" s="3429" t="s">
        <v>0</v>
      </c>
      <c r="B2" s="3430"/>
      <c r="C2" s="3430"/>
      <c r="D2" s="3430"/>
      <c r="E2" s="3432" t="s">
        <v>615</v>
      </c>
      <c r="F2" s="3433" t="s">
        <v>700</v>
      </c>
      <c r="G2" s="3435" t="s">
        <v>773</v>
      </c>
      <c r="H2" s="3410" t="s">
        <v>713</v>
      </c>
      <c r="I2" s="3408" t="s">
        <v>710</v>
      </c>
      <c r="J2" s="3409" t="s">
        <v>711</v>
      </c>
      <c r="K2" s="3410" t="s">
        <v>712</v>
      </c>
      <c r="L2" s="3411" t="s">
        <v>759</v>
      </c>
      <c r="M2" s="3409" t="s">
        <v>760</v>
      </c>
      <c r="N2" s="3425" t="s">
        <v>865</v>
      </c>
      <c r="O2" s="3427" t="s">
        <v>616</v>
      </c>
      <c r="P2" s="3428"/>
      <c r="Q2" s="3406" t="s">
        <v>866</v>
      </c>
      <c r="R2" s="3407"/>
      <c r="S2" s="3406" t="s">
        <v>867</v>
      </c>
      <c r="T2" s="3407"/>
      <c r="U2" s="3390" t="s">
        <v>868</v>
      </c>
      <c r="V2" s="3391"/>
      <c r="W2" s="3390" t="s">
        <v>869</v>
      </c>
      <c r="X2" s="3391"/>
      <c r="Y2" s="3390" t="s">
        <v>870</v>
      </c>
      <c r="Z2" s="3391"/>
      <c r="AA2" s="3406" t="s">
        <v>871</v>
      </c>
      <c r="AB2" s="3407"/>
      <c r="AC2" s="3406" t="s">
        <v>872</v>
      </c>
      <c r="AD2" s="3424"/>
      <c r="AE2" s="3401" t="s">
        <v>892</v>
      </c>
      <c r="AF2" s="3402"/>
      <c r="AG2" s="3403"/>
    </row>
    <row r="3" spans="1:37" ht="18.75" customHeight="1" thickBot="1" x14ac:dyDescent="0.35">
      <c r="A3" s="3431"/>
      <c r="B3" s="3333"/>
      <c r="C3" s="3333"/>
      <c r="D3" s="3333"/>
      <c r="E3" s="3379"/>
      <c r="F3" s="3434"/>
      <c r="G3" s="3436"/>
      <c r="H3" s="3374"/>
      <c r="I3" s="3383"/>
      <c r="J3" s="3372"/>
      <c r="K3" s="3374"/>
      <c r="L3" s="3370"/>
      <c r="M3" s="3372"/>
      <c r="N3" s="3426"/>
      <c r="O3" s="2075" t="s">
        <v>702</v>
      </c>
      <c r="P3" s="2599" t="s">
        <v>703</v>
      </c>
      <c r="Q3" s="2075" t="s">
        <v>702</v>
      </c>
      <c r="R3" s="2599" t="s">
        <v>703</v>
      </c>
      <c r="S3" s="2075" t="s">
        <v>702</v>
      </c>
      <c r="T3" s="2599" t="s">
        <v>703</v>
      </c>
      <c r="U3" s="2075" t="s">
        <v>702</v>
      </c>
      <c r="V3" s="2636" t="s">
        <v>703</v>
      </c>
      <c r="W3" s="2075" t="s">
        <v>702</v>
      </c>
      <c r="X3" s="2636" t="s">
        <v>703</v>
      </c>
      <c r="Y3" s="2075" t="s">
        <v>702</v>
      </c>
      <c r="Z3" s="2636" t="s">
        <v>703</v>
      </c>
      <c r="AA3" s="2081" t="s">
        <v>702</v>
      </c>
      <c r="AB3" s="2599" t="s">
        <v>703</v>
      </c>
      <c r="AC3" s="2081" t="s">
        <v>702</v>
      </c>
      <c r="AD3" s="2638" t="s">
        <v>703</v>
      </c>
      <c r="AE3" s="2576" t="s">
        <v>702</v>
      </c>
      <c r="AF3" s="2576" t="s">
        <v>703</v>
      </c>
      <c r="AG3" s="2577" t="s">
        <v>516</v>
      </c>
    </row>
    <row r="4" spans="1:37" s="2426" customFormat="1" ht="18" customHeight="1" x14ac:dyDescent="0.5">
      <c r="A4" s="2444" t="s">
        <v>777</v>
      </c>
      <c r="B4" s="2416"/>
      <c r="C4" s="2416"/>
      <c r="D4" s="2417"/>
      <c r="E4" s="2418">
        <f>12524700-2277800</f>
        <v>10246900</v>
      </c>
      <c r="F4" s="2419">
        <f>10025300-1708300</f>
        <v>8317000</v>
      </c>
      <c r="G4" s="2420"/>
      <c r="H4" s="2421"/>
      <c r="I4" s="2422" t="e">
        <f>#REF!</f>
        <v>#REF!</v>
      </c>
      <c r="J4" s="2415"/>
      <c r="K4" s="2421"/>
      <c r="L4" s="2423" t="e">
        <f>#REF!</f>
        <v>#REF!</v>
      </c>
      <c r="M4" s="2415"/>
      <c r="N4" s="2421">
        <f>+E6-E7</f>
        <v>8437367</v>
      </c>
      <c r="O4" s="3415" t="s">
        <v>875</v>
      </c>
      <c r="P4" s="3416"/>
      <c r="Q4" s="3416"/>
      <c r="R4" s="3416"/>
      <c r="S4" s="3416"/>
      <c r="T4" s="3416"/>
      <c r="U4" s="3416"/>
      <c r="V4" s="3416"/>
      <c r="W4" s="3416"/>
      <c r="X4" s="3416"/>
      <c r="Y4" s="3416"/>
      <c r="Z4" s="3416"/>
      <c r="AA4" s="3416"/>
      <c r="AB4" s="3416"/>
      <c r="AC4" s="3416"/>
      <c r="AD4" s="3416"/>
      <c r="AE4" s="3416"/>
      <c r="AF4" s="3416"/>
      <c r="AG4" s="3417"/>
      <c r="AH4" s="2424"/>
      <c r="AI4" s="673"/>
      <c r="AJ4" s="965"/>
      <c r="AK4" s="2425"/>
    </row>
    <row r="5" spans="1:37" s="2426" customFormat="1" ht="18" customHeight="1" x14ac:dyDescent="0.5">
      <c r="A5" s="3418" t="s">
        <v>629</v>
      </c>
      <c r="B5" s="3419"/>
      <c r="C5" s="3419"/>
      <c r="D5" s="3419"/>
      <c r="E5" s="3419"/>
      <c r="F5" s="3419"/>
      <c r="G5" s="3419"/>
      <c r="H5" s="3419"/>
      <c r="I5" s="3419"/>
      <c r="J5" s="3419"/>
      <c r="K5" s="3419"/>
      <c r="L5" s="3419"/>
      <c r="M5" s="3419"/>
      <c r="N5" s="3419"/>
      <c r="O5" s="3419"/>
      <c r="P5" s="3419"/>
      <c r="Q5" s="3419"/>
      <c r="R5" s="3419"/>
      <c r="S5" s="3419"/>
      <c r="T5" s="3419"/>
      <c r="U5" s="3419"/>
      <c r="V5" s="3419"/>
      <c r="W5" s="3419"/>
      <c r="X5" s="3419"/>
      <c r="Y5" s="3419"/>
      <c r="Z5" s="3419"/>
      <c r="AA5" s="3419"/>
      <c r="AB5" s="3419"/>
      <c r="AC5" s="3419"/>
      <c r="AD5" s="3419"/>
      <c r="AE5" s="3419"/>
      <c r="AF5" s="3419"/>
      <c r="AG5" s="3420"/>
      <c r="AH5" s="2424"/>
      <c r="AI5" s="673"/>
      <c r="AJ5" s="965"/>
      <c r="AK5" s="2425"/>
    </row>
    <row r="6" spans="1:37" ht="21.75" customHeight="1" thickBot="1" x14ac:dyDescent="0.35">
      <c r="A6" s="2445" t="s">
        <v>891</v>
      </c>
      <c r="B6" s="2440"/>
      <c r="C6" s="2441"/>
      <c r="D6" s="2442"/>
      <c r="E6" s="2443">
        <f>E8+E9+E10+E11+E13+E14+E15</f>
        <v>9706267</v>
      </c>
      <c r="F6" s="2396" t="e">
        <f t="shared" ref="F6:M6" si="0">F7+F8+F9+F10+F11+F13+F14+F15</f>
        <v>#REF!</v>
      </c>
      <c r="G6" s="2480">
        <f t="shared" si="0"/>
        <v>442312</v>
      </c>
      <c r="H6" s="2397">
        <f t="shared" si="0"/>
        <v>0</v>
      </c>
      <c r="I6" s="2397">
        <f t="shared" si="0"/>
        <v>0</v>
      </c>
      <c r="J6" s="2397">
        <f t="shared" si="0"/>
        <v>0</v>
      </c>
      <c r="K6" s="2397">
        <f t="shared" si="0"/>
        <v>0</v>
      </c>
      <c r="L6" s="2397">
        <f t="shared" si="0"/>
        <v>0</v>
      </c>
      <c r="M6" s="2397">
        <f t="shared" si="0"/>
        <v>0</v>
      </c>
      <c r="N6" s="2397">
        <f>+E6-E7</f>
        <v>8437367</v>
      </c>
      <c r="O6" s="2607">
        <f>+SUM(O7:O15)</f>
        <v>930061</v>
      </c>
      <c r="P6" s="2481">
        <f t="shared" ref="P6:AD6" si="1">+SUM(P7:P15)</f>
        <v>1570566.3200000003</v>
      </c>
      <c r="Q6" s="2397">
        <f t="shared" si="1"/>
        <v>1218998</v>
      </c>
      <c r="R6" s="2481">
        <f t="shared" si="1"/>
        <v>1524138.27</v>
      </c>
      <c r="S6" s="2397">
        <f t="shared" si="1"/>
        <v>1967398.6</v>
      </c>
      <c r="T6" s="2481">
        <f>+SUM(T7:T15)</f>
        <v>1147092.8999999999</v>
      </c>
      <c r="U6" s="2397">
        <f t="shared" si="1"/>
        <v>2639047.6</v>
      </c>
      <c r="V6" s="2481">
        <f t="shared" si="1"/>
        <v>0</v>
      </c>
      <c r="W6" s="2397">
        <f t="shared" si="1"/>
        <v>3371796.6</v>
      </c>
      <c r="X6" s="2481">
        <f t="shared" si="1"/>
        <v>0</v>
      </c>
      <c r="Y6" s="2397">
        <f>+SUM(Y7:Y15)</f>
        <v>4470330.5999999996</v>
      </c>
      <c r="Z6" s="2481">
        <f t="shared" si="1"/>
        <v>0</v>
      </c>
      <c r="AA6" s="2397">
        <f t="shared" si="1"/>
        <v>5311265.5999999996</v>
      </c>
      <c r="AB6" s="2481">
        <f t="shared" si="1"/>
        <v>0</v>
      </c>
      <c r="AC6" s="2397">
        <f t="shared" si="1"/>
        <v>7337650.5999999996</v>
      </c>
      <c r="AD6" s="2481">
        <f t="shared" si="1"/>
        <v>0</v>
      </c>
      <c r="AE6" s="2578">
        <f>+S6</f>
        <v>1967398.6</v>
      </c>
      <c r="AF6" s="2578">
        <f>+T6</f>
        <v>1147092.8999999999</v>
      </c>
      <c r="AG6" s="2579">
        <f>+AE6-AF6</f>
        <v>820305.70000000019</v>
      </c>
      <c r="AH6" s="2410"/>
      <c r="AI6" s="2390"/>
    </row>
    <row r="7" spans="1:37" ht="19.5" hidden="1" customHeight="1" x14ac:dyDescent="0.3">
      <c r="A7" s="2465"/>
      <c r="B7" s="2466" t="s">
        <v>624</v>
      </c>
      <c r="C7" s="2466"/>
      <c r="D7" s="2466"/>
      <c r="E7" s="2535">
        <f>+'4 สรุปตามการจัดสรร 2+3'!C10</f>
        <v>1268900</v>
      </c>
      <c r="F7" s="2383">
        <v>442312</v>
      </c>
      <c r="G7" s="2384">
        <v>442312</v>
      </c>
      <c r="H7" s="2063"/>
      <c r="I7" s="2102"/>
      <c r="J7" s="2063"/>
      <c r="K7" s="2063"/>
      <c r="L7" s="2103"/>
      <c r="M7" s="2063"/>
      <c r="N7" s="2063"/>
      <c r="O7" s="1881">
        <v>442312</v>
      </c>
      <c r="P7" s="2058">
        <v>442312</v>
      </c>
      <c r="Q7" s="2104"/>
      <c r="R7" s="2058"/>
      <c r="S7" s="2104"/>
      <c r="T7" s="2058"/>
      <c r="U7" s="2104"/>
      <c r="V7" s="2058"/>
      <c r="W7" s="2104"/>
      <c r="X7" s="2058"/>
      <c r="Y7" s="2104"/>
      <c r="Z7" s="2058"/>
      <c r="AA7" s="2104"/>
      <c r="AB7" s="2058"/>
      <c r="AC7" s="2104">
        <f>+O7+95108</f>
        <v>537420</v>
      </c>
      <c r="AD7" s="2639"/>
      <c r="AE7" s="2411">
        <f>+Q7</f>
        <v>0</v>
      </c>
      <c r="AF7" s="2411">
        <f>+R7</f>
        <v>0</v>
      </c>
      <c r="AG7" s="2412">
        <f>+AE7-AF7</f>
        <v>0</v>
      </c>
      <c r="AH7" s="2410"/>
      <c r="AI7" s="2390"/>
    </row>
    <row r="8" spans="1:37" s="366" customFormat="1" ht="19.5" customHeight="1" x14ac:dyDescent="0.3">
      <c r="A8" s="2467"/>
      <c r="B8" s="2468" t="s">
        <v>663</v>
      </c>
      <c r="C8" s="2468"/>
      <c r="D8" s="2468"/>
      <c r="E8" s="2232">
        <f>+'3 จัดสรรเพื่อบริหาร'!C15+'3 จัดสรรเพื่อบริหาร'!C16+'3 จัดสรรเพื่อบริหาร'!C17</f>
        <v>3672240</v>
      </c>
      <c r="F8" s="2386">
        <f>1606329+372240+230880</f>
        <v>2209449</v>
      </c>
      <c r="G8" s="1884"/>
      <c r="H8" s="2062"/>
      <c r="I8" s="1926"/>
      <c r="J8" s="2062"/>
      <c r="K8" s="2062"/>
      <c r="L8" s="2042"/>
      <c r="M8" s="2062"/>
      <c r="N8" s="2063"/>
      <c r="O8" s="1698">
        <v>364749</v>
      </c>
      <c r="P8" s="2391">
        <v>364749</v>
      </c>
      <c r="Q8" s="1702">
        <f>+O8*2</f>
        <v>729498</v>
      </c>
      <c r="R8" s="2391">
        <v>729520</v>
      </c>
      <c r="S8" s="1702">
        <f>+O8*3</f>
        <v>1094247</v>
      </c>
      <c r="T8" s="2391">
        <f>+'3 จัดสรรเพื่อบริหาร'!E15+'3 จัดสรรเพื่อบริหาร'!E16+'3 จัดสรรเพื่อบริหาร'!E17</f>
        <v>592360</v>
      </c>
      <c r="U8" s="1702">
        <f>+O8*4</f>
        <v>1458996</v>
      </c>
      <c r="V8" s="2391"/>
      <c r="W8" s="1702">
        <f>+O8*5</f>
        <v>1823745</v>
      </c>
      <c r="X8" s="2391"/>
      <c r="Y8" s="1702">
        <f>+O8*6</f>
        <v>2188494</v>
      </c>
      <c r="Z8" s="2391"/>
      <c r="AA8" s="1702">
        <f>+(O8*7)+394086</f>
        <v>2947329</v>
      </c>
      <c r="AB8" s="2391"/>
      <c r="AC8" s="1702">
        <f>+E8</f>
        <v>3672240</v>
      </c>
      <c r="AD8" s="2640"/>
      <c r="AE8" s="2580">
        <f>+S8</f>
        <v>1094247</v>
      </c>
      <c r="AF8" s="2580">
        <f>+T8</f>
        <v>592360</v>
      </c>
      <c r="AG8" s="2581">
        <f t="shared" ref="AG8:AG15" si="2">+AE8-AF8</f>
        <v>501887</v>
      </c>
      <c r="AH8" s="2410"/>
      <c r="AI8" s="2390"/>
      <c r="AJ8" s="395"/>
    </row>
    <row r="9" spans="1:37" s="366" customFormat="1" ht="19.5" customHeight="1" x14ac:dyDescent="0.3">
      <c r="A9" s="2467"/>
      <c r="B9" s="2468" t="s">
        <v>664</v>
      </c>
      <c r="C9" s="2468"/>
      <c r="D9" s="2468"/>
      <c r="E9" s="2533">
        <f>+'3 จัดสรรเพื่อบริหาร'!C9+'3 จัดสรรเพื่อบริหาร'!C10+'3 จัดสรรเพื่อบริหาร'!C11</f>
        <v>1203000</v>
      </c>
      <c r="F9" s="2386">
        <f>+(21000*4*6)+(15000*6)+4000</f>
        <v>598000</v>
      </c>
      <c r="G9" s="1884"/>
      <c r="H9" s="2062"/>
      <c r="I9" s="1926"/>
      <c r="J9" s="2062"/>
      <c r="K9" s="2062"/>
      <c r="L9" s="2042"/>
      <c r="M9" s="2062"/>
      <c r="N9" s="2063"/>
      <c r="O9" s="1698">
        <f>+(21000*4)+15000</f>
        <v>99000</v>
      </c>
      <c r="P9" s="2391">
        <v>0</v>
      </c>
      <c r="Q9" s="1702">
        <f>+O9+(21000*4)+15000+2000</f>
        <v>200000</v>
      </c>
      <c r="R9" s="2391">
        <v>0</v>
      </c>
      <c r="S9" s="1702">
        <f>+Q9+(21000*4)+15000</f>
        <v>299000</v>
      </c>
      <c r="T9" s="2391">
        <f>+'3 จัดสรรเพื่อบริหาร'!E9+'3 จัดสรรเพื่อบริหาร'!E10+'3 จัดสรรเพื่อบริหาร'!E11</f>
        <v>0</v>
      </c>
      <c r="U9" s="1702">
        <f>+S9+(21000*4)+15000+2000</f>
        <v>400000</v>
      </c>
      <c r="V9" s="2391"/>
      <c r="W9" s="1702">
        <f>+U9+(21000*4)+15000</f>
        <v>499000</v>
      </c>
      <c r="X9" s="2391"/>
      <c r="Y9" s="1702">
        <f>+W9+(21000*4)+15000+2000</f>
        <v>600000</v>
      </c>
      <c r="Z9" s="2391"/>
      <c r="AA9" s="1702">
        <f>+Y9+(21000*4)+15000</f>
        <v>699000</v>
      </c>
      <c r="AB9" s="2391"/>
      <c r="AC9" s="1702">
        <f>+AA9+(21000*4)+15000+2000</f>
        <v>800000</v>
      </c>
      <c r="AD9" s="2640"/>
      <c r="AE9" s="2580">
        <f t="shared" ref="AE9:AE14" si="3">+S9</f>
        <v>299000</v>
      </c>
      <c r="AF9" s="2580">
        <f t="shared" ref="AF9:AF14" si="4">+T9</f>
        <v>0</v>
      </c>
      <c r="AG9" s="2581">
        <f t="shared" si="2"/>
        <v>299000</v>
      </c>
      <c r="AH9" s="2410"/>
      <c r="AI9" s="2390"/>
      <c r="AJ9" s="395"/>
    </row>
    <row r="10" spans="1:37" s="366" customFormat="1" ht="19.5" customHeight="1" x14ac:dyDescent="0.3">
      <c r="A10" s="2467"/>
      <c r="B10" s="2468" t="s">
        <v>625</v>
      </c>
      <c r="C10" s="2468"/>
      <c r="D10" s="2468"/>
      <c r="E10" s="2533">
        <f>+'3 จัดสรรเพื่อบริหาร'!C28</f>
        <v>0</v>
      </c>
      <c r="F10" s="2386">
        <f>454270*6</f>
        <v>2725620</v>
      </c>
      <c r="G10" s="1884"/>
      <c r="H10" s="2062"/>
      <c r="I10" s="1926"/>
      <c r="J10" s="2062"/>
      <c r="K10" s="2062"/>
      <c r="L10" s="2042"/>
      <c r="M10" s="2062"/>
      <c r="N10" s="2063"/>
      <c r="O10" s="1698">
        <f>+E10/8</f>
        <v>0</v>
      </c>
      <c r="P10" s="2391">
        <v>463578.3</v>
      </c>
      <c r="Q10" s="1702">
        <f>+O10*2</f>
        <v>0</v>
      </c>
      <c r="R10" s="2391">
        <v>466931.24999999994</v>
      </c>
      <c r="S10" s="1702">
        <f>+O10*3</f>
        <v>0</v>
      </c>
      <c r="T10" s="2391">
        <f>+'3 จัดสรรเพื่อบริหาร'!E28</f>
        <v>0</v>
      </c>
      <c r="U10" s="1702">
        <f>+O10*4</f>
        <v>0</v>
      </c>
      <c r="V10" s="2391"/>
      <c r="W10" s="1702">
        <f>+O10*5</f>
        <v>0</v>
      </c>
      <c r="X10" s="2391"/>
      <c r="Y10" s="1702">
        <f>+O10*6</f>
        <v>0</v>
      </c>
      <c r="Z10" s="2391"/>
      <c r="AA10" s="1702">
        <f>+O10*7</f>
        <v>0</v>
      </c>
      <c r="AB10" s="2391"/>
      <c r="AC10" s="1702">
        <f>+O10*8</f>
        <v>0</v>
      </c>
      <c r="AD10" s="2640"/>
      <c r="AE10" s="2580">
        <f t="shared" si="3"/>
        <v>0</v>
      </c>
      <c r="AF10" s="2580">
        <f t="shared" si="4"/>
        <v>0</v>
      </c>
      <c r="AG10" s="2581">
        <f t="shared" si="2"/>
        <v>0</v>
      </c>
      <c r="AH10" s="2410"/>
      <c r="AI10" s="2390"/>
      <c r="AJ10" s="395"/>
    </row>
    <row r="11" spans="1:37" s="366" customFormat="1" ht="19.5" customHeight="1" x14ac:dyDescent="0.3">
      <c r="A11" s="2469"/>
      <c r="B11" s="2470" t="s">
        <v>690</v>
      </c>
      <c r="C11" s="2468"/>
      <c r="D11" s="2468"/>
      <c r="E11" s="2533">
        <f>+'4 สรุปตามการจัดสรร 2+3'!C31+'4 สรุปตามการจัดสรร 2+3'!C29</f>
        <v>80000</v>
      </c>
      <c r="F11" s="2386">
        <v>97500</v>
      </c>
      <c r="G11" s="1884"/>
      <c r="H11" s="2062"/>
      <c r="I11" s="1926"/>
      <c r="J11" s="2062"/>
      <c r="K11" s="2062"/>
      <c r="L11" s="2042"/>
      <c r="M11" s="2062"/>
      <c r="N11" s="2063"/>
      <c r="O11" s="1698"/>
      <c r="P11" s="2391">
        <v>1476.6</v>
      </c>
      <c r="Q11" s="1702"/>
      <c r="R11" s="2391">
        <v>1476.6</v>
      </c>
      <c r="S11" s="1702">
        <f>10000+P11</f>
        <v>11476.6</v>
      </c>
      <c r="T11" s="2391">
        <f>+'4 สรุปตามการจัดสรร 2+3'!F29+'4 สรุปตามการจัดสรร 2+3'!F31</f>
        <v>34764</v>
      </c>
      <c r="U11" s="1702">
        <f>+S11+20000</f>
        <v>31476.6</v>
      </c>
      <c r="V11" s="2391"/>
      <c r="W11" s="1702">
        <f>+U11+20000</f>
        <v>51476.6</v>
      </c>
      <c r="X11" s="2391"/>
      <c r="Y11" s="1702">
        <f>+W11+20000</f>
        <v>71476.600000000006</v>
      </c>
      <c r="Z11" s="2391"/>
      <c r="AA11" s="1702">
        <f>+Y11+30000</f>
        <v>101476.6</v>
      </c>
      <c r="AB11" s="2391"/>
      <c r="AC11" s="1702">
        <f>+AA11+28523</f>
        <v>129999.6</v>
      </c>
      <c r="AD11" s="2640"/>
      <c r="AE11" s="2580">
        <f t="shared" si="3"/>
        <v>11476.6</v>
      </c>
      <c r="AF11" s="2580">
        <f t="shared" si="4"/>
        <v>34764</v>
      </c>
      <c r="AG11" s="2581">
        <f t="shared" si="2"/>
        <v>-23287.4</v>
      </c>
      <c r="AH11" s="2410"/>
      <c r="AI11" s="2390"/>
      <c r="AJ11" s="395"/>
    </row>
    <row r="12" spans="1:37" s="366" customFormat="1" ht="19.5" hidden="1" customHeight="1" x14ac:dyDescent="0.3">
      <c r="A12" s="2467">
        <v>0</v>
      </c>
      <c r="B12" s="2468" t="s">
        <v>626</v>
      </c>
      <c r="C12" s="2468"/>
      <c r="D12" s="2468"/>
      <c r="E12" s="2533" t="e">
        <f>F12+I12+L12</f>
        <v>#REF!</v>
      </c>
      <c r="F12" s="2061" t="e">
        <f>#REF!+#REF!</f>
        <v>#REF!</v>
      </c>
      <c r="G12" s="1884"/>
      <c r="H12" s="2062"/>
      <c r="I12" s="1926"/>
      <c r="J12" s="2062"/>
      <c r="K12" s="2062"/>
      <c r="L12" s="2042"/>
      <c r="M12" s="2062"/>
      <c r="N12" s="2063"/>
      <c r="O12" s="1698"/>
      <c r="P12" s="2391"/>
      <c r="Q12" s="1702"/>
      <c r="R12" s="2391"/>
      <c r="S12" s="1702"/>
      <c r="T12" s="2391"/>
      <c r="U12" s="1702"/>
      <c r="V12" s="2391"/>
      <c r="W12" s="1702"/>
      <c r="X12" s="2391"/>
      <c r="Y12" s="1702"/>
      <c r="Z12" s="2391"/>
      <c r="AA12" s="1702"/>
      <c r="AB12" s="2391"/>
      <c r="AC12" s="1702"/>
      <c r="AD12" s="2640"/>
      <c r="AE12" s="2580">
        <f t="shared" si="3"/>
        <v>0</v>
      </c>
      <c r="AF12" s="2580">
        <f t="shared" si="4"/>
        <v>0</v>
      </c>
      <c r="AG12" s="2581">
        <f t="shared" si="2"/>
        <v>0</v>
      </c>
      <c r="AH12" s="2410"/>
      <c r="AI12" s="2390"/>
      <c r="AJ12" s="395"/>
    </row>
    <row r="13" spans="1:37" s="366" customFormat="1" ht="19.5" customHeight="1" x14ac:dyDescent="0.3">
      <c r="A13" s="2467"/>
      <c r="B13" s="2468" t="s">
        <v>648</v>
      </c>
      <c r="C13" s="2468"/>
      <c r="D13" s="2468"/>
      <c r="E13" s="2533">
        <f>+'3 จัดสรรเพื่อบริหาร'!C22</f>
        <v>53100</v>
      </c>
      <c r="F13" s="2386">
        <v>41250</v>
      </c>
      <c r="G13" s="1884"/>
      <c r="H13" s="2062"/>
      <c r="I13" s="1926"/>
      <c r="J13" s="2062"/>
      <c r="K13" s="2062"/>
      <c r="L13" s="2042"/>
      <c r="M13" s="2062"/>
      <c r="N13" s="2063"/>
      <c r="O13" s="1698">
        <v>6500</v>
      </c>
      <c r="P13" s="2391">
        <v>7270</v>
      </c>
      <c r="Q13" s="1702">
        <f>+O13+6500</f>
        <v>13000</v>
      </c>
      <c r="R13" s="2391">
        <v>7270</v>
      </c>
      <c r="S13" s="1702">
        <f>+Q13+6500</f>
        <v>19500</v>
      </c>
      <c r="T13" s="2391">
        <f>+'3 จัดสรรเพื่อบริหาร'!E22</f>
        <v>9920</v>
      </c>
      <c r="U13" s="1702">
        <f>+S13+6500</f>
        <v>26000</v>
      </c>
      <c r="V13" s="2391"/>
      <c r="W13" s="1702">
        <f>+U13+6500</f>
        <v>32500</v>
      </c>
      <c r="X13" s="2391"/>
      <c r="Y13" s="1702">
        <f>+W13+6500</f>
        <v>39000</v>
      </c>
      <c r="Z13" s="2391"/>
      <c r="AA13" s="1702">
        <f>+Y13+6500</f>
        <v>45500</v>
      </c>
      <c r="AB13" s="2391"/>
      <c r="AC13" s="1702">
        <f>+AA13+9500</f>
        <v>55000</v>
      </c>
      <c r="AD13" s="2640"/>
      <c r="AE13" s="2580">
        <f t="shared" si="3"/>
        <v>19500</v>
      </c>
      <c r="AF13" s="2580">
        <f t="shared" si="4"/>
        <v>9920</v>
      </c>
      <c r="AG13" s="2581">
        <f t="shared" si="2"/>
        <v>9580</v>
      </c>
      <c r="AH13" s="2410"/>
      <c r="AI13" s="2390" t="s">
        <v>873</v>
      </c>
      <c r="AJ13" s="395"/>
    </row>
    <row r="14" spans="1:37" ht="19.5" customHeight="1" x14ac:dyDescent="0.3">
      <c r="A14" s="2450"/>
      <c r="B14" s="2471" t="s">
        <v>775</v>
      </c>
      <c r="C14" s="2471"/>
      <c r="D14" s="2471"/>
      <c r="E14" s="2533">
        <f>+'3 จัดสรรเพื่อบริหาร'!C12+'3 จัดสรรเพื่อบริหาร'!C21</f>
        <v>90500</v>
      </c>
      <c r="F14" s="2386">
        <v>76500</v>
      </c>
      <c r="G14" s="1884"/>
      <c r="H14" s="2062"/>
      <c r="I14" s="1926"/>
      <c r="J14" s="2062"/>
      <c r="K14" s="2062"/>
      <c r="L14" s="2042"/>
      <c r="M14" s="2062"/>
      <c r="N14" s="2063"/>
      <c r="O14" s="1698">
        <v>15000</v>
      </c>
      <c r="P14" s="2391">
        <v>15279</v>
      </c>
      <c r="Q14" s="1702">
        <f>+O14+12000</f>
        <v>27000</v>
      </c>
      <c r="R14" s="2391">
        <v>17259</v>
      </c>
      <c r="S14" s="1702">
        <f>+Q14+12000</f>
        <v>39000</v>
      </c>
      <c r="T14" s="2391">
        <f>+'3 จัดสรรเพื่อบริหาร'!E21+'3 จัดสรรเพื่อบริหาร'!E12</f>
        <v>22816</v>
      </c>
      <c r="U14" s="1702">
        <f>+S14+12000</f>
        <v>51000</v>
      </c>
      <c r="V14" s="2391"/>
      <c r="W14" s="1702">
        <f>+U14+12000</f>
        <v>63000</v>
      </c>
      <c r="X14" s="2391"/>
      <c r="Y14" s="1702">
        <f>+W14+12000</f>
        <v>75000</v>
      </c>
      <c r="Z14" s="2391"/>
      <c r="AA14" s="1702">
        <f>+Y14+12000</f>
        <v>87000</v>
      </c>
      <c r="AB14" s="2391"/>
      <c r="AC14" s="1702">
        <f>+AA14+15000</f>
        <v>102000</v>
      </c>
      <c r="AD14" s="2640"/>
      <c r="AE14" s="2580">
        <f t="shared" si="3"/>
        <v>39000</v>
      </c>
      <c r="AF14" s="2580">
        <f t="shared" si="4"/>
        <v>22816</v>
      </c>
      <c r="AG14" s="2581">
        <f t="shared" si="2"/>
        <v>16184</v>
      </c>
      <c r="AH14" s="2410"/>
      <c r="AI14" s="2390" t="s">
        <v>66</v>
      </c>
      <c r="AJ14" s="395">
        <v>10025300</v>
      </c>
    </row>
    <row r="15" spans="1:37" s="1618" customFormat="1" ht="22.5" customHeight="1" x14ac:dyDescent="0.3">
      <c r="A15" s="2413" t="s">
        <v>885</v>
      </c>
      <c r="B15" s="2414"/>
      <c r="C15" s="2414"/>
      <c r="D15" s="2430"/>
      <c r="E15" s="2398">
        <f>SUM(E16:E25)</f>
        <v>4607427</v>
      </c>
      <c r="F15" s="2399" t="e">
        <f>SUM(F16:F25)</f>
        <v>#REF!</v>
      </c>
      <c r="G15" s="2400">
        <f>SUM(G16:G25)</f>
        <v>0</v>
      </c>
      <c r="H15" s="2398">
        <f>SUM(H16:H25)</f>
        <v>0</v>
      </c>
      <c r="I15" s="2398">
        <f>SUM(I16:I25)</f>
        <v>0</v>
      </c>
      <c r="J15" s="2107"/>
      <c r="K15" s="2107">
        <f>SUM(K16:K25)</f>
        <v>0</v>
      </c>
      <c r="L15" s="2107">
        <f>SUM(L16:L25)</f>
        <v>0</v>
      </c>
      <c r="M15" s="2107"/>
      <c r="N15" s="2107">
        <f>SUM(N16:N25)</f>
        <v>0</v>
      </c>
      <c r="O15" s="1771">
        <f t="shared" ref="O15:AC15" si="5">+SUM(O16:O25)</f>
        <v>2500</v>
      </c>
      <c r="P15" s="2479">
        <f t="shared" si="5"/>
        <v>275901.42000000004</v>
      </c>
      <c r="Q15" s="2107">
        <f t="shared" si="5"/>
        <v>249500</v>
      </c>
      <c r="R15" s="2479">
        <f>+SUM(R16:R25)</f>
        <v>301681.42000000004</v>
      </c>
      <c r="S15" s="2107">
        <f t="shared" si="5"/>
        <v>504175</v>
      </c>
      <c r="T15" s="2479">
        <f t="shared" si="5"/>
        <v>487232.9</v>
      </c>
      <c r="U15" s="2107">
        <f t="shared" si="5"/>
        <v>671575</v>
      </c>
      <c r="V15" s="2479">
        <f t="shared" si="5"/>
        <v>0</v>
      </c>
      <c r="W15" s="2107">
        <f t="shared" si="5"/>
        <v>902075</v>
      </c>
      <c r="X15" s="2479">
        <f t="shared" si="5"/>
        <v>0</v>
      </c>
      <c r="Y15" s="2107">
        <f t="shared" si="5"/>
        <v>1496360</v>
      </c>
      <c r="Z15" s="2479">
        <f t="shared" si="5"/>
        <v>0</v>
      </c>
      <c r="AA15" s="2107">
        <f t="shared" si="5"/>
        <v>1430960</v>
      </c>
      <c r="AB15" s="2479">
        <f t="shared" si="5"/>
        <v>0</v>
      </c>
      <c r="AC15" s="2107">
        <f t="shared" si="5"/>
        <v>2040991</v>
      </c>
      <c r="AD15" s="2641"/>
      <c r="AE15" s="2107">
        <f t="shared" ref="AE15:AF17" si="6">+S15</f>
        <v>504175</v>
      </c>
      <c r="AF15" s="2107">
        <f t="shared" si="6"/>
        <v>487232.9</v>
      </c>
      <c r="AG15" s="2479">
        <f t="shared" si="2"/>
        <v>16942.099999999977</v>
      </c>
      <c r="AH15" s="2431"/>
      <c r="AI15" s="2432" t="s">
        <v>297</v>
      </c>
      <c r="AJ15" s="415">
        <v>1708300</v>
      </c>
      <c r="AK15" s="1817"/>
    </row>
    <row r="16" spans="1:37" ht="20.25" customHeight="1" x14ac:dyDescent="0.3">
      <c r="A16" s="2472"/>
      <c r="B16" s="2473" t="s">
        <v>6</v>
      </c>
      <c r="C16" s="2473"/>
      <c r="D16" s="2473"/>
      <c r="E16" s="2533">
        <f>+'4 สรุปตามการจัดสรร 2+3'!C16</f>
        <v>1959802</v>
      </c>
      <c r="F16" s="2114" t="e">
        <f>#REF!+#REF!</f>
        <v>#REF!</v>
      </c>
      <c r="G16" s="2101"/>
      <c r="H16" s="2115"/>
      <c r="I16" s="1926"/>
      <c r="J16" s="2115"/>
      <c r="K16" s="2115"/>
      <c r="L16" s="2116"/>
      <c r="M16" s="2115"/>
      <c r="N16" s="2115"/>
      <c r="O16" s="1710"/>
      <c r="P16" s="2058">
        <v>247491.42000000004</v>
      </c>
      <c r="Q16" s="2104">
        <v>46000</v>
      </c>
      <c r="R16" s="2058">
        <v>247491.42000000004</v>
      </c>
      <c r="S16" s="2104">
        <f>+Q16+96000</f>
        <v>142000</v>
      </c>
      <c r="T16" s="2058">
        <f>+'4 สรุปตามการจัดสรร 2+3'!F16</f>
        <v>116687.52</v>
      </c>
      <c r="U16" s="2104">
        <f>+S16+36000</f>
        <v>178000</v>
      </c>
      <c r="V16" s="2058"/>
      <c r="W16" s="2104">
        <f>+U16+36000</f>
        <v>214000</v>
      </c>
      <c r="X16" s="2058"/>
      <c r="Y16" s="2104">
        <f>+W16+86000</f>
        <v>300000</v>
      </c>
      <c r="Z16" s="2058"/>
      <c r="AA16" s="2104">
        <f>+Y16+16000</f>
        <v>316000</v>
      </c>
      <c r="AB16" s="2058"/>
      <c r="AC16" s="2104">
        <f>+AA16+149356</f>
        <v>465356</v>
      </c>
      <c r="AD16" s="2642"/>
      <c r="AE16" s="2582">
        <f t="shared" si="6"/>
        <v>142000</v>
      </c>
      <c r="AF16" s="2582">
        <f t="shared" si="6"/>
        <v>116687.52</v>
      </c>
      <c r="AG16" s="2583">
        <f>+AE16-AF16</f>
        <v>25312.479999999996</v>
      </c>
      <c r="AH16" s="2410"/>
      <c r="AI16" s="2390" t="s">
        <v>16</v>
      </c>
      <c r="AJ16" s="395">
        <f>+AJ14-AJ15</f>
        <v>8317000</v>
      </c>
    </row>
    <row r="17" spans="1:37" ht="20.25" customHeight="1" x14ac:dyDescent="0.3">
      <c r="A17" s="2474"/>
      <c r="B17" s="2475" t="s">
        <v>2</v>
      </c>
      <c r="C17" s="2475"/>
      <c r="D17" s="2475"/>
      <c r="E17" s="2533">
        <f>+'4 สรุปตามการจัดสรร 2+3'!C17</f>
        <v>14000</v>
      </c>
      <c r="F17" s="2061" t="e">
        <f>#REF!+#REF!</f>
        <v>#REF!</v>
      </c>
      <c r="G17" s="1884"/>
      <c r="H17" s="2062"/>
      <c r="I17" s="1926"/>
      <c r="J17" s="2062"/>
      <c r="K17" s="2115"/>
      <c r="L17" s="2116"/>
      <c r="M17" s="2062"/>
      <c r="N17" s="2115"/>
      <c r="O17" s="1698">
        <v>1000</v>
      </c>
      <c r="P17" s="2391">
        <v>0</v>
      </c>
      <c r="Q17" s="1702">
        <f>+O17+1000</f>
        <v>2000</v>
      </c>
      <c r="R17" s="2391">
        <v>0</v>
      </c>
      <c r="S17" s="1702">
        <f>+Q17+1000</f>
        <v>3000</v>
      </c>
      <c r="T17" s="2391">
        <f>+'4 สรุปตามการจัดสรร 2+3'!F17</f>
        <v>3269.66</v>
      </c>
      <c r="U17" s="1702">
        <f>+S17+1000</f>
        <v>4000</v>
      </c>
      <c r="V17" s="2391"/>
      <c r="W17" s="1702">
        <f>+U17+1000</f>
        <v>5000</v>
      </c>
      <c r="X17" s="2391"/>
      <c r="Y17" s="1702">
        <f>+W17+1000</f>
        <v>6000</v>
      </c>
      <c r="Z17" s="2391"/>
      <c r="AA17" s="1702">
        <f>+Y17+1000</f>
        <v>7000</v>
      </c>
      <c r="AB17" s="2391"/>
      <c r="AC17" s="1702">
        <f>+AA17+1000</f>
        <v>8000</v>
      </c>
      <c r="AD17" s="2640"/>
      <c r="AE17" s="2580">
        <f t="shared" si="6"/>
        <v>3000</v>
      </c>
      <c r="AF17" s="2580">
        <f t="shared" si="6"/>
        <v>3269.66</v>
      </c>
      <c r="AG17" s="2581">
        <f>+AE17-AF17</f>
        <v>-269.65999999999985</v>
      </c>
      <c r="AH17" s="2410"/>
      <c r="AI17" s="2390"/>
    </row>
    <row r="18" spans="1:37" ht="20.25" customHeight="1" x14ac:dyDescent="0.3">
      <c r="A18" s="2474"/>
      <c r="B18" s="2475" t="s">
        <v>1</v>
      </c>
      <c r="C18" s="2475"/>
      <c r="D18" s="2475"/>
      <c r="E18" s="2533">
        <f>+'4 สรุปตามการจัดสรร 2+3'!C18</f>
        <v>381700</v>
      </c>
      <c r="F18" s="2061" t="e">
        <f>#REF!+#REF!</f>
        <v>#REF!</v>
      </c>
      <c r="G18" s="1884"/>
      <c r="H18" s="2062"/>
      <c r="I18" s="1926"/>
      <c r="J18" s="2062"/>
      <c r="K18" s="2115"/>
      <c r="L18" s="2116"/>
      <c r="M18" s="2062"/>
      <c r="N18" s="2115"/>
      <c r="O18" s="1698">
        <v>1000</v>
      </c>
      <c r="P18" s="2391">
        <v>0</v>
      </c>
      <c r="Q18" s="1702">
        <f>+O18+1000</f>
        <v>2000</v>
      </c>
      <c r="R18" s="2391">
        <v>0</v>
      </c>
      <c r="S18" s="1702">
        <f>+Q18+23500</f>
        <v>25500</v>
      </c>
      <c r="T18" s="2391">
        <f>+'4 สรุปตามการจัดสรร 2+3'!F18</f>
        <v>28687.86</v>
      </c>
      <c r="U18" s="1702">
        <f>+S18+1000</f>
        <v>26500</v>
      </c>
      <c r="V18" s="2391"/>
      <c r="W18" s="1702">
        <f>+U18+1000</f>
        <v>27500</v>
      </c>
      <c r="X18" s="2391"/>
      <c r="Y18" s="1702">
        <f>+W18+50510</f>
        <v>78010</v>
      </c>
      <c r="Z18" s="2391"/>
      <c r="AA18" s="1702">
        <f>+Y18+1000</f>
        <v>79010</v>
      </c>
      <c r="AB18" s="2391"/>
      <c r="AC18" s="1702">
        <f>+AA18+1000</f>
        <v>80010</v>
      </c>
      <c r="AD18" s="2640"/>
      <c r="AE18" s="2580">
        <f t="shared" ref="AE18:AE25" si="7">+S18</f>
        <v>25500</v>
      </c>
      <c r="AF18" s="2580">
        <f t="shared" ref="AF18:AF25" si="8">+T18</f>
        <v>28687.86</v>
      </c>
      <c r="AG18" s="2581">
        <f t="shared" ref="AG18:AG25" si="9">+AE18-AF18</f>
        <v>-3187.8600000000006</v>
      </c>
      <c r="AH18" s="2410"/>
      <c r="AI18" s="2390"/>
    </row>
    <row r="19" spans="1:37" ht="20.25" customHeight="1" x14ac:dyDescent="0.3">
      <c r="A19" s="2474"/>
      <c r="B19" s="2475" t="s">
        <v>3</v>
      </c>
      <c r="C19" s="2475"/>
      <c r="D19" s="2475"/>
      <c r="E19" s="2533">
        <f>+'4 สรุปตามการจัดสรร 2+3'!C19</f>
        <v>135750</v>
      </c>
      <c r="F19" s="2061" t="e">
        <f>#REF!+#REF!</f>
        <v>#REF!</v>
      </c>
      <c r="G19" s="1884"/>
      <c r="H19" s="2062"/>
      <c r="I19" s="1926"/>
      <c r="J19" s="2062"/>
      <c r="K19" s="2115"/>
      <c r="L19" s="2116"/>
      <c r="M19" s="2062"/>
      <c r="N19" s="2115"/>
      <c r="O19" s="1698">
        <v>500</v>
      </c>
      <c r="P19" s="2391">
        <v>350</v>
      </c>
      <c r="Q19" s="1702">
        <f>+O19+5500</f>
        <v>6000</v>
      </c>
      <c r="R19" s="2391">
        <v>350</v>
      </c>
      <c r="S19" s="1702">
        <f>+Q19+500</f>
        <v>6500</v>
      </c>
      <c r="T19" s="2391">
        <f>+'4 สรุปตามการจัดสรร 2+3'!F19</f>
        <v>17265</v>
      </c>
      <c r="U19" s="1702">
        <f>+S19+5500</f>
        <v>12000</v>
      </c>
      <c r="V19" s="2391"/>
      <c r="W19" s="1702">
        <f>+U19+15500</f>
        <v>27500</v>
      </c>
      <c r="X19" s="2391"/>
      <c r="Y19" s="1702">
        <f>+W19+20500</f>
        <v>48000</v>
      </c>
      <c r="Z19" s="2391"/>
      <c r="AA19" s="1702">
        <f>+Y19+15500</f>
        <v>63500</v>
      </c>
      <c r="AB19" s="2391"/>
      <c r="AC19" s="1702">
        <f>+AA19+20500</f>
        <v>84000</v>
      </c>
      <c r="AD19" s="2640"/>
      <c r="AE19" s="2580">
        <f t="shared" si="7"/>
        <v>6500</v>
      </c>
      <c r="AF19" s="2580">
        <f t="shared" si="8"/>
        <v>17265</v>
      </c>
      <c r="AG19" s="2581">
        <f t="shared" si="9"/>
        <v>-10765</v>
      </c>
      <c r="AH19" s="2410"/>
      <c r="AI19" s="2390"/>
    </row>
    <row r="20" spans="1:37" s="366" customFormat="1" ht="20.25" customHeight="1" x14ac:dyDescent="0.3">
      <c r="A20" s="2474"/>
      <c r="B20" s="2475" t="s">
        <v>24</v>
      </c>
      <c r="C20" s="2475"/>
      <c r="D20" s="2475"/>
      <c r="E20" s="2533">
        <f>+'4 สรุปตามการจัดสรร 2+3'!C20</f>
        <v>499800</v>
      </c>
      <c r="F20" s="2061" t="e">
        <f>#REF!+#REF!</f>
        <v>#REF!</v>
      </c>
      <c r="G20" s="1884"/>
      <c r="H20" s="2062"/>
      <c r="I20" s="1926"/>
      <c r="J20" s="2062"/>
      <c r="K20" s="2115"/>
      <c r="L20" s="2116"/>
      <c r="M20" s="2062"/>
      <c r="N20" s="2115"/>
      <c r="O20" s="1698"/>
      <c r="P20" s="2391">
        <v>0</v>
      </c>
      <c r="Q20" s="1702">
        <v>5500</v>
      </c>
      <c r="R20" s="2391">
        <v>21430</v>
      </c>
      <c r="S20" s="1702">
        <f>+Q20+15500</f>
        <v>21000</v>
      </c>
      <c r="T20" s="2391">
        <f>+'4 สรุปตามการจัดสรร 2+3'!F20</f>
        <v>120440</v>
      </c>
      <c r="U20" s="1702">
        <f>+S20+25500</f>
        <v>46500</v>
      </c>
      <c r="V20" s="2391"/>
      <c r="W20" s="1702">
        <f>+U20+5500</f>
        <v>52000</v>
      </c>
      <c r="X20" s="2391"/>
      <c r="Y20" s="1702">
        <f>+W20+65500</f>
        <v>117500</v>
      </c>
      <c r="Z20" s="2391"/>
      <c r="AA20" s="1702"/>
      <c r="AB20" s="2391"/>
      <c r="AC20" s="1702">
        <f>+Y20+145500</f>
        <v>263000</v>
      </c>
      <c r="AD20" s="2640"/>
      <c r="AE20" s="2580">
        <f t="shared" si="7"/>
        <v>21000</v>
      </c>
      <c r="AF20" s="2580">
        <f t="shared" si="8"/>
        <v>120440</v>
      </c>
      <c r="AG20" s="2581">
        <f t="shared" si="9"/>
        <v>-99440</v>
      </c>
      <c r="AH20" s="2410"/>
      <c r="AI20" s="2390"/>
      <c r="AJ20" s="395"/>
    </row>
    <row r="21" spans="1:37" s="366" customFormat="1" ht="20.25" customHeight="1" x14ac:dyDescent="0.3">
      <c r="A21" s="2474"/>
      <c r="B21" s="2475" t="s">
        <v>23</v>
      </c>
      <c r="C21" s="2475"/>
      <c r="D21" s="2475"/>
      <c r="E21" s="2533">
        <f>+'4 สรุปตามการจัดสรร 2+3'!C21</f>
        <v>622075</v>
      </c>
      <c r="F21" s="2061" t="e">
        <f>#REF!+#REF!</f>
        <v>#REF!</v>
      </c>
      <c r="G21" s="1884"/>
      <c r="H21" s="2062"/>
      <c r="I21" s="1926"/>
      <c r="J21" s="2062"/>
      <c r="K21" s="2115"/>
      <c r="L21" s="2116"/>
      <c r="M21" s="2062"/>
      <c r="N21" s="2115"/>
      <c r="O21" s="1698"/>
      <c r="P21" s="2391">
        <v>13250</v>
      </c>
      <c r="Q21" s="1702">
        <v>40500</v>
      </c>
      <c r="R21" s="2391">
        <v>13250</v>
      </c>
      <c r="S21" s="1702">
        <f>+Q21+95475</f>
        <v>135975</v>
      </c>
      <c r="T21" s="2391">
        <f>+'4 สรุปตามการจัดสรร 2+3'!F21</f>
        <v>160088</v>
      </c>
      <c r="U21" s="1702">
        <f>+S21+22500</f>
        <v>158475</v>
      </c>
      <c r="V21" s="2391"/>
      <c r="W21" s="1702">
        <f>+U21+100300</f>
        <v>258775</v>
      </c>
      <c r="X21" s="2391"/>
      <c r="Y21" s="1702">
        <f>+W21+54175</f>
        <v>312950</v>
      </c>
      <c r="Z21" s="2391"/>
      <c r="AA21" s="1702">
        <f>+Y21+13300</f>
        <v>326250</v>
      </c>
      <c r="AB21" s="2391"/>
      <c r="AC21" s="1702">
        <f>+AA21+4375</f>
        <v>330625</v>
      </c>
      <c r="AD21" s="2640"/>
      <c r="AE21" s="2580">
        <f t="shared" si="7"/>
        <v>135975</v>
      </c>
      <c r="AF21" s="2580">
        <f t="shared" si="8"/>
        <v>160088</v>
      </c>
      <c r="AG21" s="2581">
        <f t="shared" si="9"/>
        <v>-24113</v>
      </c>
      <c r="AH21" s="2410"/>
      <c r="AI21" s="2390"/>
      <c r="AJ21" s="395"/>
    </row>
    <row r="22" spans="1:37" s="366" customFormat="1" ht="20.25" customHeight="1" x14ac:dyDescent="0.3">
      <c r="A22" s="2474"/>
      <c r="B22" s="2475" t="s">
        <v>4</v>
      </c>
      <c r="C22" s="2475"/>
      <c r="D22" s="2475"/>
      <c r="E22" s="2533">
        <f>+'4 สรุปตามการจัดสรร 2+3'!C22</f>
        <v>213000</v>
      </c>
      <c r="F22" s="2061" t="e">
        <f>#REF!+#REF!</f>
        <v>#REF!</v>
      </c>
      <c r="G22" s="1884"/>
      <c r="H22" s="2062"/>
      <c r="I22" s="1926"/>
      <c r="J22" s="2062"/>
      <c r="K22" s="2115"/>
      <c r="L22" s="2116"/>
      <c r="M22" s="2062"/>
      <c r="N22" s="2115"/>
      <c r="O22" s="1698"/>
      <c r="P22" s="2391">
        <v>5000</v>
      </c>
      <c r="Q22" s="1702">
        <v>29000</v>
      </c>
      <c r="R22" s="2391">
        <v>5000</v>
      </c>
      <c r="S22" s="1702">
        <f>+Q22+10000</f>
        <v>39000</v>
      </c>
      <c r="T22" s="2391">
        <f>+'4 สรุปตามการจัดสรร 2+3'!F22</f>
        <v>13240</v>
      </c>
      <c r="U22" s="1702"/>
      <c r="V22" s="2391"/>
      <c r="W22" s="1702">
        <f>+S22+29000</f>
        <v>68000</v>
      </c>
      <c r="X22" s="2391"/>
      <c r="Y22" s="1702">
        <f>+W22+20000</f>
        <v>88000</v>
      </c>
      <c r="Z22" s="2391"/>
      <c r="AA22" s="1702"/>
      <c r="AB22" s="2391"/>
      <c r="AC22" s="1702">
        <f>+Y22+24000</f>
        <v>112000</v>
      </c>
      <c r="AD22" s="2640"/>
      <c r="AE22" s="2580">
        <f t="shared" si="7"/>
        <v>39000</v>
      </c>
      <c r="AF22" s="2580">
        <f t="shared" si="8"/>
        <v>13240</v>
      </c>
      <c r="AG22" s="2581">
        <f t="shared" si="9"/>
        <v>25760</v>
      </c>
      <c r="AH22" s="2410"/>
      <c r="AI22" s="2390"/>
      <c r="AJ22" s="395"/>
    </row>
    <row r="23" spans="1:37" s="366" customFormat="1" ht="20.25" customHeight="1" x14ac:dyDescent="0.3">
      <c r="A23" s="2474"/>
      <c r="B23" s="2475" t="s">
        <v>20</v>
      </c>
      <c r="C23" s="2475"/>
      <c r="D23" s="2475"/>
      <c r="E23" s="2533">
        <f>+'4 สรุปตามการจัดสรร 2+3'!C23</f>
        <v>221200</v>
      </c>
      <c r="F23" s="2061" t="e">
        <f>#REF!+#REF!</f>
        <v>#REF!</v>
      </c>
      <c r="G23" s="1884"/>
      <c r="H23" s="2062"/>
      <c r="I23" s="1926"/>
      <c r="J23" s="2062"/>
      <c r="K23" s="2115"/>
      <c r="L23" s="2116"/>
      <c r="M23" s="2062"/>
      <c r="N23" s="2115"/>
      <c r="O23" s="1698"/>
      <c r="P23" s="2391">
        <v>4750</v>
      </c>
      <c r="Q23" s="1702">
        <v>85600</v>
      </c>
      <c r="R23" s="2391">
        <v>9100</v>
      </c>
      <c r="S23" s="1702">
        <f>+Q23+7600</f>
        <v>93200</v>
      </c>
      <c r="T23" s="2391">
        <f>+'4 สรุปตามการจัดสรร 2+3'!F23</f>
        <v>10398</v>
      </c>
      <c r="U23" s="1702">
        <f>+S23+57000</f>
        <v>150200</v>
      </c>
      <c r="V23" s="2391"/>
      <c r="W23" s="1702">
        <f>+U23+58100</f>
        <v>208300</v>
      </c>
      <c r="X23" s="2391"/>
      <c r="Y23" s="1702">
        <f>+W23+60100</f>
        <v>268400</v>
      </c>
      <c r="Z23" s="2391"/>
      <c r="AA23" s="1702">
        <f>+Y23+19000</f>
        <v>287400</v>
      </c>
      <c r="AB23" s="2391"/>
      <c r="AC23" s="1702">
        <f>+AA23+12600</f>
        <v>300000</v>
      </c>
      <c r="AD23" s="2640"/>
      <c r="AE23" s="2580">
        <f t="shared" si="7"/>
        <v>93200</v>
      </c>
      <c r="AF23" s="2580">
        <f t="shared" si="8"/>
        <v>10398</v>
      </c>
      <c r="AG23" s="2581">
        <f t="shared" si="9"/>
        <v>82802</v>
      </c>
      <c r="AH23" s="2410"/>
      <c r="AI23" s="2390"/>
      <c r="AJ23" s="395"/>
    </row>
    <row r="24" spans="1:37" s="366" customFormat="1" ht="20.25" customHeight="1" x14ac:dyDescent="0.3">
      <c r="A24" s="2474"/>
      <c r="B24" s="2476" t="s">
        <v>5</v>
      </c>
      <c r="C24" s="2476"/>
      <c r="D24" s="2476"/>
      <c r="E24" s="2533">
        <f>+'4 สรุปตามการจัดสรร 2+3'!C24</f>
        <v>80100</v>
      </c>
      <c r="F24" s="2061" t="e">
        <f>#REF!+#REF!</f>
        <v>#REF!</v>
      </c>
      <c r="G24" s="1884"/>
      <c r="H24" s="2062"/>
      <c r="I24" s="1926"/>
      <c r="J24" s="2062"/>
      <c r="K24" s="2115"/>
      <c r="L24" s="2116"/>
      <c r="M24" s="2062"/>
      <c r="N24" s="2115"/>
      <c r="O24" s="1698"/>
      <c r="P24" s="2391">
        <v>3800</v>
      </c>
      <c r="Q24" s="1702">
        <v>6400</v>
      </c>
      <c r="R24" s="2391">
        <v>3800</v>
      </c>
      <c r="S24" s="1702"/>
      <c r="T24" s="2391">
        <f>+'4 สรุปตามการจัดสรร 2+3'!F24</f>
        <v>10698.36</v>
      </c>
      <c r="U24" s="1702">
        <f>+Q24+50000</f>
        <v>56400</v>
      </c>
      <c r="V24" s="2391"/>
      <c r="W24" s="1702"/>
      <c r="X24" s="2391"/>
      <c r="Y24" s="1702"/>
      <c r="Z24" s="2391"/>
      <c r="AA24" s="1702">
        <f>+U24+6400</f>
        <v>62800</v>
      </c>
      <c r="AB24" s="2391"/>
      <c r="AC24" s="1702">
        <f>+AA24+43200</f>
        <v>106000</v>
      </c>
      <c r="AD24" s="2640"/>
      <c r="AE24" s="2580">
        <f t="shared" si="7"/>
        <v>0</v>
      </c>
      <c r="AF24" s="2580">
        <f t="shared" si="8"/>
        <v>10698.36</v>
      </c>
      <c r="AG24" s="2581">
        <f t="shared" si="9"/>
        <v>-10698.36</v>
      </c>
      <c r="AH24" s="2410"/>
      <c r="AI24" s="2390"/>
      <c r="AJ24" s="395"/>
    </row>
    <row r="25" spans="1:37" s="366" customFormat="1" ht="20.25" customHeight="1" x14ac:dyDescent="0.3">
      <c r="A25" s="2477"/>
      <c r="B25" s="2478" t="s">
        <v>21</v>
      </c>
      <c r="C25" s="2478"/>
      <c r="D25" s="2478"/>
      <c r="E25" s="2534">
        <f>+'4 สรุปตามการจัดสรร 2+3'!C25</f>
        <v>480000</v>
      </c>
      <c r="F25" s="2399" t="e">
        <f>#REF!+#REF!</f>
        <v>#REF!</v>
      </c>
      <c r="G25" s="2436"/>
      <c r="H25" s="2428"/>
      <c r="I25" s="2403"/>
      <c r="J25" s="2428"/>
      <c r="K25" s="2428"/>
      <c r="L25" s="2404"/>
      <c r="M25" s="2428"/>
      <c r="N25" s="2428"/>
      <c r="O25" s="2608"/>
      <c r="P25" s="2427">
        <v>1260</v>
      </c>
      <c r="Q25" s="2429">
        <v>26500</v>
      </c>
      <c r="R25" s="2427">
        <v>1260</v>
      </c>
      <c r="S25" s="2429">
        <f>+Q25+11500</f>
        <v>38000</v>
      </c>
      <c r="T25" s="2427">
        <f>+'4 สรุปตามการจัดสรร 2+3'!F25</f>
        <v>6458.5</v>
      </c>
      <c r="U25" s="2429">
        <f>+S25+1500</f>
        <v>39500</v>
      </c>
      <c r="V25" s="2427"/>
      <c r="W25" s="2429">
        <f>+U25+1500</f>
        <v>41000</v>
      </c>
      <c r="X25" s="2427"/>
      <c r="Y25" s="2429">
        <f>+W25+236500</f>
        <v>277500</v>
      </c>
      <c r="Z25" s="2427"/>
      <c r="AA25" s="2429">
        <f>+Y25+11500</f>
        <v>289000</v>
      </c>
      <c r="AB25" s="2427"/>
      <c r="AC25" s="2429">
        <f>+AA25+3000</f>
        <v>292000</v>
      </c>
      <c r="AD25" s="2643"/>
      <c r="AE25" s="2584">
        <f t="shared" si="7"/>
        <v>38000</v>
      </c>
      <c r="AF25" s="2584">
        <f t="shared" si="8"/>
        <v>6458.5</v>
      </c>
      <c r="AG25" s="2585">
        <f t="shared" si="9"/>
        <v>31541.5</v>
      </c>
      <c r="AH25" s="2410"/>
      <c r="AI25" s="2390"/>
      <c r="AJ25" s="395"/>
    </row>
    <row r="26" spans="1:37" s="555" customFormat="1" ht="20.25" customHeight="1" thickBot="1" x14ac:dyDescent="0.3">
      <c r="A26" s="2509">
        <v>2</v>
      </c>
      <c r="B26" s="2485" t="s">
        <v>876</v>
      </c>
      <c r="C26" s="2485"/>
      <c r="D26" s="2485"/>
      <c r="E26" s="2510">
        <v>2952000</v>
      </c>
      <c r="F26" s="2511"/>
      <c r="G26" s="2512"/>
      <c r="H26" s="2513"/>
      <c r="I26" s="2513"/>
      <c r="J26" s="2513"/>
      <c r="K26" s="2513"/>
      <c r="L26" s="2513"/>
      <c r="M26" s="2513"/>
      <c r="N26" s="2513"/>
      <c r="O26" s="2609"/>
      <c r="P26" s="2600"/>
      <c r="Q26" s="2513">
        <v>492000</v>
      </c>
      <c r="R26" s="2600">
        <v>492000</v>
      </c>
      <c r="S26" s="2513">
        <f>492000+Q26</f>
        <v>984000</v>
      </c>
      <c r="T26" s="2600">
        <f>+'3 จัดสรรเพื่อบริหาร'!E8</f>
        <v>974000</v>
      </c>
      <c r="U26" s="2513">
        <f>492000+S26</f>
        <v>1476000</v>
      </c>
      <c r="V26" s="2600"/>
      <c r="W26" s="2513">
        <f>492000+U26</f>
        <v>1968000</v>
      </c>
      <c r="X26" s="2600"/>
      <c r="Y26" s="2513">
        <f>492000+W26</f>
        <v>2460000</v>
      </c>
      <c r="Z26" s="2600"/>
      <c r="AA26" s="2513">
        <f>492000+Y26</f>
        <v>2952000</v>
      </c>
      <c r="AB26" s="2600"/>
      <c r="AC26" s="2513"/>
      <c r="AD26" s="2644"/>
      <c r="AE26" s="2598">
        <f t="shared" ref="AE26:AF29" si="10">+S26</f>
        <v>984000</v>
      </c>
      <c r="AF26" s="2598">
        <f t="shared" si="10"/>
        <v>974000</v>
      </c>
      <c r="AG26" s="2598">
        <f>+AE27-AF26</f>
        <v>-936300</v>
      </c>
      <c r="AH26" s="2514"/>
      <c r="AI26" s="1996"/>
      <c r="AJ26" s="826"/>
    </row>
    <row r="27" spans="1:37" s="1091" customFormat="1" ht="21.75" customHeight="1" thickBot="1" x14ac:dyDescent="0.3">
      <c r="A27" s="2501" t="s">
        <v>886</v>
      </c>
      <c r="B27" s="2501"/>
      <c r="C27" s="2502"/>
      <c r="D27" s="2503"/>
      <c r="E27" s="2504">
        <f>+SUM(E28:E29)</f>
        <v>411300</v>
      </c>
      <c r="F27" s="2505" t="e">
        <f>F28+F29+#REF!+#REF!+#REF!+#REF!+F30+F31</f>
        <v>#REF!</v>
      </c>
      <c r="G27" s="2506" t="e">
        <f>G28+G29+#REF!+#REF!+#REF!+#REF!+G30+G31</f>
        <v>#REF!</v>
      </c>
      <c r="H27" s="2507" t="e">
        <f>H28+H29+#REF!+#REF!+#REF!+#REF!+H30+H31</f>
        <v>#REF!</v>
      </c>
      <c r="I27" s="2507" t="e">
        <f>I28+I29+#REF!+#REF!+#REF!+#REF!+I30+I31</f>
        <v>#REF!</v>
      </c>
      <c r="J27" s="2507" t="e">
        <f>J28+J29+#REF!+#REF!+#REF!+#REF!+J30+J31</f>
        <v>#REF!</v>
      </c>
      <c r="K27" s="2507" t="e">
        <f>K28+K29+#REF!+#REF!+#REF!+#REF!+K30+K31</f>
        <v>#REF!</v>
      </c>
      <c r="L27" s="2507" t="e">
        <f>L28+L29+#REF!+#REF!+#REF!+#REF!+L30+L31</f>
        <v>#REF!</v>
      </c>
      <c r="M27" s="2507" t="e">
        <f>M28+M29+#REF!+#REF!+#REF!+#REF!+M30+M31</f>
        <v>#REF!</v>
      </c>
      <c r="N27" s="2507">
        <f>+E27-E28</f>
        <v>16400</v>
      </c>
      <c r="O27" s="2610">
        <f t="shared" ref="O27:AD27" si="11">+SUM(O28:O31)</f>
        <v>0</v>
      </c>
      <c r="P27" s="2508">
        <f t="shared" si="11"/>
        <v>0</v>
      </c>
      <c r="Q27" s="2507">
        <f t="shared" si="11"/>
        <v>16000</v>
      </c>
      <c r="R27" s="2508">
        <f t="shared" si="11"/>
        <v>0</v>
      </c>
      <c r="S27" s="2507">
        <f t="shared" si="11"/>
        <v>37700</v>
      </c>
      <c r="T27" s="2508">
        <f>+T28+T29</f>
        <v>385</v>
      </c>
      <c r="U27" s="2507">
        <f t="shared" si="11"/>
        <v>204100</v>
      </c>
      <c r="V27" s="2508">
        <f t="shared" si="11"/>
        <v>0</v>
      </c>
      <c r="W27" s="2507">
        <f t="shared" si="11"/>
        <v>378800</v>
      </c>
      <c r="X27" s="2508">
        <f t="shared" si="11"/>
        <v>0</v>
      </c>
      <c r="Y27" s="2507">
        <f t="shared" si="11"/>
        <v>0</v>
      </c>
      <c r="Z27" s="2508">
        <f t="shared" si="11"/>
        <v>0</v>
      </c>
      <c r="AA27" s="2507">
        <f t="shared" si="11"/>
        <v>0</v>
      </c>
      <c r="AB27" s="2508">
        <f t="shared" si="11"/>
        <v>0</v>
      </c>
      <c r="AC27" s="2507">
        <f t="shared" si="11"/>
        <v>394900</v>
      </c>
      <c r="AD27" s="2508">
        <f t="shared" si="11"/>
        <v>0</v>
      </c>
      <c r="AE27" s="2596">
        <f t="shared" si="10"/>
        <v>37700</v>
      </c>
      <c r="AF27" s="2596">
        <f t="shared" si="10"/>
        <v>385</v>
      </c>
      <c r="AG27" s="2597">
        <f>+AE27-AF27</f>
        <v>37315</v>
      </c>
      <c r="AH27" s="2489"/>
      <c r="AI27" s="2490"/>
      <c r="AJ27" s="472"/>
      <c r="AK27" s="1128"/>
    </row>
    <row r="28" spans="1:37" s="31" customFormat="1" ht="20.25" customHeight="1" x14ac:dyDescent="0.25">
      <c r="A28" s="2568"/>
      <c r="B28" s="2484" t="s">
        <v>887</v>
      </c>
      <c r="C28" s="2484"/>
      <c r="D28" s="2484"/>
      <c r="E28" s="2560">
        <v>394900</v>
      </c>
      <c r="F28" s="2569"/>
      <c r="G28" s="2570"/>
      <c r="H28" s="2500"/>
      <c r="I28" s="2571"/>
      <c r="J28" s="2500"/>
      <c r="K28" s="2500"/>
      <c r="L28" s="2572"/>
      <c r="M28" s="2500"/>
      <c r="N28" s="2500"/>
      <c r="O28" s="2611"/>
      <c r="P28" s="2601"/>
      <c r="Q28" s="2574">
        <v>16000</v>
      </c>
      <c r="R28" s="2622"/>
      <c r="S28" s="2573">
        <f>21700+Q28</f>
        <v>37700</v>
      </c>
      <c r="T28" s="2601">
        <f>+'5สรุปรายงบ (66 พลางก่อน)'!I11</f>
        <v>385</v>
      </c>
      <c r="U28" s="2573">
        <f>150000+S28</f>
        <v>187700</v>
      </c>
      <c r="V28" s="2601"/>
      <c r="W28" s="2573">
        <f>191100+U28</f>
        <v>378800</v>
      </c>
      <c r="X28" s="2601"/>
      <c r="Y28" s="2573"/>
      <c r="Z28" s="2601"/>
      <c r="AA28" s="2573"/>
      <c r="AB28" s="2601"/>
      <c r="AC28" s="2573">
        <f>16100+W28</f>
        <v>394900</v>
      </c>
      <c r="AD28" s="2645"/>
      <c r="AE28" s="2624">
        <f t="shared" si="10"/>
        <v>37700</v>
      </c>
      <c r="AF28" s="2586">
        <f t="shared" si="10"/>
        <v>385</v>
      </c>
      <c r="AG28" s="2587">
        <f>+AE28-AF28</f>
        <v>37315</v>
      </c>
      <c r="AH28" s="2489"/>
      <c r="AI28" s="2490"/>
      <c r="AJ28" s="472"/>
    </row>
    <row r="29" spans="1:37" s="31" customFormat="1" ht="20.25" customHeight="1" thickBot="1" x14ac:dyDescent="0.3">
      <c r="A29" s="2486"/>
      <c r="B29" s="2487" t="s">
        <v>888</v>
      </c>
      <c r="C29" s="2487"/>
      <c r="D29" s="2487"/>
      <c r="E29" s="2561">
        <v>16400</v>
      </c>
      <c r="F29" s="2575"/>
      <c r="G29" s="2562"/>
      <c r="H29" s="2563"/>
      <c r="I29" s="2564"/>
      <c r="J29" s="2563"/>
      <c r="K29" s="2565"/>
      <c r="L29" s="2566"/>
      <c r="M29" s="2563"/>
      <c r="N29" s="2565"/>
      <c r="O29" s="2612"/>
      <c r="P29" s="2602"/>
      <c r="Q29" s="2567"/>
      <c r="R29" s="2623"/>
      <c r="S29" s="2567"/>
      <c r="T29" s="2602">
        <f>+'5สรุปรายงบ (66 พลางก่อน)'!I13</f>
        <v>0</v>
      </c>
      <c r="U29" s="2567">
        <v>16400</v>
      </c>
      <c r="V29" s="2602"/>
      <c r="W29" s="2567"/>
      <c r="X29" s="2602"/>
      <c r="Y29" s="2567"/>
      <c r="Z29" s="2602"/>
      <c r="AA29" s="2567"/>
      <c r="AB29" s="2602"/>
      <c r="AC29" s="2567"/>
      <c r="AD29" s="2646"/>
      <c r="AE29" s="2625">
        <f t="shared" si="10"/>
        <v>0</v>
      </c>
      <c r="AF29" s="2588">
        <f t="shared" si="10"/>
        <v>0</v>
      </c>
      <c r="AG29" s="2589"/>
      <c r="AH29" s="2489"/>
      <c r="AI29" s="2490"/>
      <c r="AJ29" s="472"/>
    </row>
    <row r="30" spans="1:37" s="1618" customFormat="1" ht="26.25" hidden="1" customHeight="1" x14ac:dyDescent="0.3">
      <c r="A30" s="2438" t="s">
        <v>628</v>
      </c>
      <c r="B30" s="2439"/>
      <c r="C30" s="2439"/>
      <c r="D30" s="2439"/>
      <c r="E30" s="2401">
        <f>E37+E38+E39+E32</f>
        <v>19532300</v>
      </c>
      <c r="F30" s="2402"/>
      <c r="G30" s="2132"/>
      <c r="H30" s="2133"/>
      <c r="I30" s="2134"/>
      <c r="J30" s="2133"/>
      <c r="K30" s="2133"/>
      <c r="L30" s="2135"/>
      <c r="M30" s="2133"/>
      <c r="N30" s="2133"/>
      <c r="O30" s="1782"/>
      <c r="P30" s="2408"/>
      <c r="Q30" s="2133"/>
      <c r="R30" s="2408"/>
      <c r="S30" s="2133"/>
      <c r="T30" s="2408"/>
      <c r="U30" s="2133"/>
      <c r="V30" s="2408"/>
      <c r="W30" s="2133"/>
      <c r="X30" s="2408"/>
      <c r="Y30" s="2133"/>
      <c r="Z30" s="2408"/>
      <c r="AA30" s="2133"/>
      <c r="AB30" s="2408"/>
      <c r="AC30" s="2133"/>
      <c r="AD30" s="2647"/>
      <c r="AE30" s="2133"/>
      <c r="AF30" s="2133"/>
      <c r="AG30" s="2408"/>
      <c r="AH30" s="2410"/>
      <c r="AI30" s="2390"/>
      <c r="AJ30" s="415"/>
      <c r="AK30" s="1817"/>
    </row>
    <row r="31" spans="1:37" ht="20.25" hidden="1" customHeight="1" x14ac:dyDescent="0.3">
      <c r="A31" s="3350" t="s">
        <v>629</v>
      </c>
      <c r="B31" s="3351"/>
      <c r="C31" s="3351"/>
      <c r="D31" s="3352"/>
      <c r="E31" s="2125">
        <f>E32+E37+E38</f>
        <v>19532300</v>
      </c>
      <c r="F31" s="2126"/>
      <c r="G31" s="2101"/>
      <c r="H31" s="2127"/>
      <c r="I31" s="2128"/>
      <c r="J31" s="2127"/>
      <c r="K31" s="2127"/>
      <c r="L31" s="2116"/>
      <c r="M31" s="2127"/>
      <c r="N31" s="2127"/>
      <c r="O31" s="1785"/>
      <c r="P31" s="2603"/>
      <c r="Q31" s="2127"/>
      <c r="R31" s="2603"/>
      <c r="S31" s="2127"/>
      <c r="T31" s="2603"/>
      <c r="U31" s="2127"/>
      <c r="V31" s="2603"/>
      <c r="W31" s="2127"/>
      <c r="X31" s="2603"/>
      <c r="Y31" s="2127"/>
      <c r="Z31" s="2603"/>
      <c r="AA31" s="2127"/>
      <c r="AB31" s="2603"/>
      <c r="AC31" s="2127"/>
      <c r="AD31" s="2648"/>
      <c r="AE31" s="2388"/>
      <c r="AF31" s="2388"/>
      <c r="AG31" s="2393"/>
      <c r="AH31" s="2410"/>
      <c r="AI31" s="2390"/>
    </row>
    <row r="32" spans="1:37" ht="21.75" hidden="1" customHeight="1" x14ac:dyDescent="0.3">
      <c r="A32" s="1776"/>
      <c r="B32" s="1783" t="s">
        <v>680</v>
      </c>
      <c r="C32" s="1783"/>
      <c r="D32" s="1783"/>
      <c r="E32" s="2401">
        <f>E33+E34+E35+E36</f>
        <v>416500</v>
      </c>
      <c r="F32" s="2402">
        <f t="shared" ref="F32:F40" si="12">E32</f>
        <v>416500</v>
      </c>
      <c r="G32" s="2132"/>
      <c r="H32" s="2133">
        <f>F32-G32</f>
        <v>416500</v>
      </c>
      <c r="I32" s="2134"/>
      <c r="J32" s="2133"/>
      <c r="K32" s="2133"/>
      <c r="L32" s="2135"/>
      <c r="M32" s="2133"/>
      <c r="N32" s="2133"/>
      <c r="O32" s="1782"/>
      <c r="P32" s="2408"/>
      <c r="Q32" s="2133"/>
      <c r="R32" s="2408"/>
      <c r="S32" s="2133"/>
      <c r="T32" s="2408"/>
      <c r="U32" s="2136"/>
      <c r="V32" s="2637"/>
      <c r="W32" s="2136"/>
      <c r="X32" s="2637"/>
      <c r="Y32" s="2136"/>
      <c r="Z32" s="2637"/>
      <c r="AA32" s="2136"/>
      <c r="AB32" s="2637"/>
      <c r="AC32" s="2136"/>
      <c r="AD32" s="2649"/>
      <c r="AE32" s="2389"/>
      <c r="AF32" s="2389"/>
      <c r="AG32" s="2394"/>
      <c r="AH32" s="2410"/>
      <c r="AI32" s="2390"/>
    </row>
    <row r="33" spans="1:37" ht="22.5" hidden="1" customHeight="1" x14ac:dyDescent="0.3">
      <c r="A33" s="1776"/>
      <c r="B33" s="1783" t="s">
        <v>676</v>
      </c>
      <c r="C33" s="1783"/>
      <c r="D33" s="1783"/>
      <c r="E33" s="2125">
        <v>198300</v>
      </c>
      <c r="F33" s="2126">
        <f t="shared" si="12"/>
        <v>198300</v>
      </c>
      <c r="G33" s="2139"/>
      <c r="H33" s="2140"/>
      <c r="I33" s="2141"/>
      <c r="J33" s="2140"/>
      <c r="K33" s="2140"/>
      <c r="L33" s="2142"/>
      <c r="M33" s="2140"/>
      <c r="N33" s="2140"/>
      <c r="O33" s="1787"/>
      <c r="P33" s="2433"/>
      <c r="Q33" s="2143"/>
      <c r="R33" s="2391"/>
      <c r="S33" s="2143"/>
      <c r="T33" s="2433"/>
      <c r="U33" s="2143"/>
      <c r="V33" s="2433"/>
      <c r="W33" s="2143"/>
      <c r="X33" s="2433"/>
      <c r="Y33" s="2143"/>
      <c r="Z33" s="2433"/>
      <c r="AA33" s="2143"/>
      <c r="AB33" s="2433"/>
      <c r="AC33" s="2143"/>
      <c r="AD33" s="2650"/>
      <c r="AE33" s="2387"/>
      <c r="AF33" s="2387"/>
      <c r="AG33" s="2392"/>
      <c r="AH33" s="2410"/>
      <c r="AI33" s="2390"/>
    </row>
    <row r="34" spans="1:37" ht="22.5" hidden="1" customHeight="1" x14ac:dyDescent="0.3">
      <c r="A34" s="1776"/>
      <c r="B34" s="1783" t="s">
        <v>677</v>
      </c>
      <c r="C34" s="1783"/>
      <c r="D34" s="1783"/>
      <c r="E34" s="2125">
        <v>15900</v>
      </c>
      <c r="F34" s="2126">
        <f t="shared" si="12"/>
        <v>15900</v>
      </c>
      <c r="G34" s="1884"/>
      <c r="H34" s="1873"/>
      <c r="I34" s="1926"/>
      <c r="J34" s="1873"/>
      <c r="K34" s="1873"/>
      <c r="L34" s="2042"/>
      <c r="M34" s="1873"/>
      <c r="N34" s="1873"/>
      <c r="O34" s="1698"/>
      <c r="P34" s="2391"/>
      <c r="Q34" s="1702"/>
      <c r="R34" s="2391"/>
      <c r="S34" s="1702"/>
      <c r="T34" s="2391"/>
      <c r="U34" s="1702"/>
      <c r="V34" s="2391"/>
      <c r="W34" s="1702"/>
      <c r="X34" s="2391"/>
      <c r="Y34" s="1702"/>
      <c r="Z34" s="2391"/>
      <c r="AA34" s="1702"/>
      <c r="AB34" s="2391"/>
      <c r="AC34" s="1702"/>
      <c r="AD34" s="2640"/>
      <c r="AE34" s="2387"/>
      <c r="AF34" s="2387"/>
      <c r="AG34" s="2392"/>
      <c r="AH34" s="2410"/>
      <c r="AI34" s="2390"/>
    </row>
    <row r="35" spans="1:37" ht="22.5" hidden="1" customHeight="1" x14ac:dyDescent="0.3">
      <c r="A35" s="1776"/>
      <c r="B35" s="1783" t="s">
        <v>678</v>
      </c>
      <c r="C35" s="1783"/>
      <c r="D35" s="1783"/>
      <c r="E35" s="2125">
        <v>15000</v>
      </c>
      <c r="F35" s="2126">
        <f t="shared" si="12"/>
        <v>15000</v>
      </c>
      <c r="G35" s="1884"/>
      <c r="H35" s="1873"/>
      <c r="I35" s="1926"/>
      <c r="J35" s="1873"/>
      <c r="K35" s="1873"/>
      <c r="L35" s="2042"/>
      <c r="M35" s="1873"/>
      <c r="N35" s="1873"/>
      <c r="O35" s="1698"/>
      <c r="P35" s="2391"/>
      <c r="Q35" s="1702"/>
      <c r="R35" s="2391"/>
      <c r="S35" s="1702"/>
      <c r="T35" s="2391"/>
      <c r="U35" s="1702"/>
      <c r="V35" s="2391"/>
      <c r="W35" s="1702"/>
      <c r="X35" s="2391"/>
      <c r="Y35" s="1702"/>
      <c r="Z35" s="2391"/>
      <c r="AA35" s="1702"/>
      <c r="AB35" s="2391"/>
      <c r="AC35" s="1702"/>
      <c r="AD35" s="2640"/>
      <c r="AE35" s="2387"/>
      <c r="AF35" s="2387"/>
      <c r="AG35" s="2392"/>
      <c r="AH35" s="2410"/>
      <c r="AI35" s="2390"/>
    </row>
    <row r="36" spans="1:37" ht="22.5" hidden="1" customHeight="1" x14ac:dyDescent="0.3">
      <c r="A36" s="1776"/>
      <c r="B36" s="1783" t="s">
        <v>679</v>
      </c>
      <c r="C36" s="1783"/>
      <c r="D36" s="1783"/>
      <c r="E36" s="2125">
        <v>187300</v>
      </c>
      <c r="F36" s="2126">
        <f t="shared" si="12"/>
        <v>187300</v>
      </c>
      <c r="G36" s="1884"/>
      <c r="H36" s="1873"/>
      <c r="I36" s="1926"/>
      <c r="J36" s="1873"/>
      <c r="K36" s="1873"/>
      <c r="L36" s="2042"/>
      <c r="M36" s="1873"/>
      <c r="N36" s="1873"/>
      <c r="O36" s="1698"/>
      <c r="P36" s="2391"/>
      <c r="Q36" s="1702"/>
      <c r="R36" s="2391"/>
      <c r="S36" s="1702"/>
      <c r="T36" s="2391"/>
      <c r="U36" s="1702"/>
      <c r="V36" s="2391"/>
      <c r="W36" s="1702"/>
      <c r="X36" s="2391"/>
      <c r="Y36" s="1702"/>
      <c r="Z36" s="2391"/>
      <c r="AA36" s="1702"/>
      <c r="AB36" s="2391"/>
      <c r="AC36" s="1702"/>
      <c r="AD36" s="2640"/>
      <c r="AE36" s="2387"/>
      <c r="AF36" s="2387"/>
      <c r="AG36" s="2392"/>
      <c r="AH36" s="2410"/>
      <c r="AI36" s="2390"/>
    </row>
    <row r="37" spans="1:37" ht="37.5" hidden="1" customHeight="1" x14ac:dyDescent="0.3">
      <c r="A37" s="1653"/>
      <c r="B37" s="3348" t="s">
        <v>681</v>
      </c>
      <c r="C37" s="3348"/>
      <c r="D37" s="3349"/>
      <c r="E37" s="1860">
        <v>13256800</v>
      </c>
      <c r="F37" s="1843">
        <f t="shared" si="12"/>
        <v>13256800</v>
      </c>
      <c r="G37" s="1884"/>
      <c r="H37" s="2151"/>
      <c r="I37" s="1926"/>
      <c r="J37" s="2151"/>
      <c r="K37" s="2151"/>
      <c r="L37" s="2042"/>
      <c r="M37" s="2151"/>
      <c r="N37" s="2151"/>
      <c r="O37" s="1698"/>
      <c r="P37" s="2391"/>
      <c r="Q37" s="1702"/>
      <c r="R37" s="2391"/>
      <c r="S37" s="1702"/>
      <c r="T37" s="2391"/>
      <c r="U37" s="1702"/>
      <c r="V37" s="2391"/>
      <c r="W37" s="1702"/>
      <c r="X37" s="2391"/>
      <c r="Y37" s="1702"/>
      <c r="Z37" s="2391"/>
      <c r="AA37" s="1702"/>
      <c r="AB37" s="2391"/>
      <c r="AC37" s="1702"/>
      <c r="AD37" s="2640"/>
      <c r="AE37" s="2387"/>
      <c r="AF37" s="2387"/>
      <c r="AG37" s="2392"/>
      <c r="AH37" s="2410"/>
      <c r="AI37" s="2390"/>
    </row>
    <row r="38" spans="1:37" ht="39" hidden="1" customHeight="1" x14ac:dyDescent="0.3">
      <c r="A38" s="2446"/>
      <c r="B38" s="3404" t="s">
        <v>682</v>
      </c>
      <c r="C38" s="3404"/>
      <c r="D38" s="3405"/>
      <c r="E38" s="2447">
        <v>5859000</v>
      </c>
      <c r="F38" s="2448">
        <f t="shared" si="12"/>
        <v>5859000</v>
      </c>
      <c r="G38" s="2189"/>
      <c r="H38" s="2449"/>
      <c r="I38" s="2434"/>
      <c r="J38" s="2449"/>
      <c r="K38" s="2449"/>
      <c r="L38" s="2437"/>
      <c r="M38" s="2449"/>
      <c r="N38" s="2449"/>
      <c r="O38" s="2613"/>
      <c r="P38" s="2604"/>
      <c r="Q38" s="2435"/>
      <c r="R38" s="2604"/>
      <c r="S38" s="2435"/>
      <c r="T38" s="2604"/>
      <c r="U38" s="2435"/>
      <c r="V38" s="2604"/>
      <c r="W38" s="2435"/>
      <c r="X38" s="2604"/>
      <c r="Y38" s="2435"/>
      <c r="Z38" s="2604"/>
      <c r="AA38" s="2435"/>
      <c r="AB38" s="2604"/>
      <c r="AC38" s="2435"/>
      <c r="AD38" s="2651"/>
      <c r="AE38" s="2387"/>
      <c r="AF38" s="2387"/>
      <c r="AG38" s="2392"/>
      <c r="AH38" s="2410"/>
      <c r="AI38" s="2390"/>
    </row>
    <row r="39" spans="1:37" ht="19.5" customHeight="1" x14ac:dyDescent="0.3">
      <c r="A39" s="3421" t="s">
        <v>878</v>
      </c>
      <c r="B39" s="3422"/>
      <c r="C39" s="3422"/>
      <c r="D39" s="3422"/>
      <c r="E39" s="3422"/>
      <c r="F39" s="3422"/>
      <c r="G39" s="3422"/>
      <c r="H39" s="3422"/>
      <c r="I39" s="3422"/>
      <c r="J39" s="3422"/>
      <c r="K39" s="3422"/>
      <c r="L39" s="3422"/>
      <c r="M39" s="3422"/>
      <c r="N39" s="3422"/>
      <c r="O39" s="3422"/>
      <c r="P39" s="3422"/>
      <c r="Q39" s="3422"/>
      <c r="R39" s="3422"/>
      <c r="S39" s="3422"/>
      <c r="T39" s="3422"/>
      <c r="U39" s="3422"/>
      <c r="V39" s="3422"/>
      <c r="W39" s="3422"/>
      <c r="X39" s="3422"/>
      <c r="Y39" s="3422"/>
      <c r="Z39" s="3422"/>
      <c r="AA39" s="3422"/>
      <c r="AB39" s="3422"/>
      <c r="AC39" s="3422"/>
      <c r="AD39" s="3422"/>
      <c r="AE39" s="3422"/>
      <c r="AF39" s="3422"/>
      <c r="AG39" s="3423"/>
      <c r="AH39" s="2410"/>
      <c r="AI39" s="2390"/>
    </row>
    <row r="40" spans="1:37" s="1091" customFormat="1" ht="39.75" customHeight="1" x14ac:dyDescent="0.25">
      <c r="A40" s="2545"/>
      <c r="B40" s="3395" t="s">
        <v>877</v>
      </c>
      <c r="C40" s="3395"/>
      <c r="D40" s="3396"/>
      <c r="E40" s="2536">
        <f>+SUM(E41:E42)</f>
        <v>1190300</v>
      </c>
      <c r="F40" s="2546">
        <f t="shared" si="12"/>
        <v>1190300</v>
      </c>
      <c r="G40" s="2547"/>
      <c r="H40" s="2548"/>
      <c r="I40" s="2548"/>
      <c r="J40" s="2548"/>
      <c r="K40" s="2548"/>
      <c r="L40" s="2548"/>
      <c r="M40" s="2548"/>
      <c r="N40" s="2548"/>
      <c r="O40" s="2614">
        <f>+SUM(O41:O42)</f>
        <v>0</v>
      </c>
      <c r="P40" s="2549">
        <f t="shared" ref="P40:AD40" si="13">+SUM(P41:P42)</f>
        <v>0</v>
      </c>
      <c r="Q40" s="2548">
        <f>+SUM(Q41:Q42)</f>
        <v>323520</v>
      </c>
      <c r="R40" s="2549">
        <f t="shared" si="13"/>
        <v>152364</v>
      </c>
      <c r="S40" s="2548">
        <f>+SUM(S41:S42)</f>
        <v>323520</v>
      </c>
      <c r="T40" s="2549">
        <f>+SUM(T41:T42)</f>
        <v>48220</v>
      </c>
      <c r="U40" s="2548">
        <f>+SUM(U41:U42)</f>
        <v>413520</v>
      </c>
      <c r="V40" s="2549">
        <f t="shared" si="13"/>
        <v>0</v>
      </c>
      <c r="W40" s="2548">
        <f>+SUM(W41:W42)</f>
        <v>565920</v>
      </c>
      <c r="X40" s="2549">
        <f t="shared" si="13"/>
        <v>0</v>
      </c>
      <c r="Y40" s="2548">
        <f>+SUM(Y41:Y42)</f>
        <v>942420</v>
      </c>
      <c r="Z40" s="2549">
        <f t="shared" si="13"/>
        <v>0</v>
      </c>
      <c r="AA40" s="2548">
        <f>+SUM(AA41:AA42)+Y42</f>
        <v>1360920</v>
      </c>
      <c r="AB40" s="2549">
        <f t="shared" si="13"/>
        <v>0</v>
      </c>
      <c r="AC40" s="2548">
        <f>+SUM(AC41:AC42)</f>
        <v>1190300</v>
      </c>
      <c r="AD40" s="2549">
        <f t="shared" si="13"/>
        <v>0</v>
      </c>
      <c r="AE40" s="2594">
        <f t="shared" ref="AE40:AF43" si="14">+S40</f>
        <v>323520</v>
      </c>
      <c r="AF40" s="2594">
        <f t="shared" si="14"/>
        <v>48220</v>
      </c>
      <c r="AG40" s="2595">
        <f t="shared" ref="AG40:AG52" si="15">+AE40-AF40</f>
        <v>275300</v>
      </c>
      <c r="AH40" s="2489"/>
      <c r="AI40" s="2490"/>
      <c r="AJ40" s="472"/>
      <c r="AK40" s="1128"/>
    </row>
    <row r="41" spans="1:37" s="2497" customFormat="1" ht="33.75" customHeight="1" x14ac:dyDescent="0.5">
      <c r="A41" s="2543"/>
      <c r="B41" s="2544"/>
      <c r="C41" s="3384" t="s">
        <v>890</v>
      </c>
      <c r="D41" s="3385"/>
      <c r="E41" s="2541">
        <v>806800</v>
      </c>
      <c r="F41" s="2538"/>
      <c r="G41" s="2539"/>
      <c r="H41" s="2540"/>
      <c r="I41" s="2540"/>
      <c r="J41" s="2540"/>
      <c r="K41" s="2540"/>
      <c r="L41" s="2540"/>
      <c r="M41" s="2540"/>
      <c r="N41" s="2540"/>
      <c r="O41" s="2615"/>
      <c r="P41" s="2542"/>
      <c r="Q41" s="2540">
        <v>120020</v>
      </c>
      <c r="R41" s="2542">
        <v>152364</v>
      </c>
      <c r="S41" s="2540">
        <f>+Q41</f>
        <v>120020</v>
      </c>
      <c r="T41" s="2542">
        <f>+'5สรุปรายงบ (66 พลางก่อน)'!I29</f>
        <v>19650</v>
      </c>
      <c r="U41" s="2540">
        <f>+S41</f>
        <v>120020</v>
      </c>
      <c r="V41" s="2542"/>
      <c r="W41" s="2540">
        <f>+U41+152400</f>
        <v>272420</v>
      </c>
      <c r="X41" s="2542"/>
      <c r="Y41" s="2540">
        <f>+W41+286500</f>
        <v>558920</v>
      </c>
      <c r="Z41" s="2542"/>
      <c r="AA41" s="2540">
        <f>+Y41+35000</f>
        <v>593920</v>
      </c>
      <c r="AB41" s="2542"/>
      <c r="AC41" s="2540">
        <f>+AA41+212880</f>
        <v>806800</v>
      </c>
      <c r="AD41" s="2652"/>
      <c r="AE41" s="2590">
        <f t="shared" si="14"/>
        <v>120020</v>
      </c>
      <c r="AF41" s="2590">
        <f t="shared" si="14"/>
        <v>19650</v>
      </c>
      <c r="AG41" s="2591">
        <f t="shared" si="15"/>
        <v>100370</v>
      </c>
      <c r="AH41" s="2493"/>
      <c r="AI41" s="2494"/>
      <c r="AJ41" s="2495"/>
      <c r="AK41" s="2496"/>
    </row>
    <row r="42" spans="1:37" s="2497" customFormat="1" ht="39.75" customHeight="1" x14ac:dyDescent="0.5">
      <c r="A42" s="2491"/>
      <c r="B42" s="2492"/>
      <c r="C42" s="3384" t="s">
        <v>889</v>
      </c>
      <c r="D42" s="3385"/>
      <c r="E42" s="2537">
        <v>383500</v>
      </c>
      <c r="F42" s="2538"/>
      <c r="G42" s="2539"/>
      <c r="H42" s="2540"/>
      <c r="I42" s="2540"/>
      <c r="J42" s="2540"/>
      <c r="K42" s="2540"/>
      <c r="L42" s="2540"/>
      <c r="M42" s="2540"/>
      <c r="N42" s="2540"/>
      <c r="O42" s="2615"/>
      <c r="P42" s="2542"/>
      <c r="Q42" s="2540">
        <v>203500</v>
      </c>
      <c r="R42" s="2542"/>
      <c r="S42" s="2540">
        <f>+Q42</f>
        <v>203500</v>
      </c>
      <c r="T42" s="2542">
        <f>+'5สรุปรายงบ (66 พลางก่อน)'!I30</f>
        <v>28570</v>
      </c>
      <c r="U42" s="2540">
        <f>+S42+90000</f>
        <v>293500</v>
      </c>
      <c r="V42" s="2542"/>
      <c r="W42" s="2540">
        <f>+U42</f>
        <v>293500</v>
      </c>
      <c r="X42" s="2542"/>
      <c r="Y42" s="2540">
        <f>+W42+90000</f>
        <v>383500</v>
      </c>
      <c r="Z42" s="2542"/>
      <c r="AA42" s="2540">
        <f>+Y42</f>
        <v>383500</v>
      </c>
      <c r="AB42" s="2542"/>
      <c r="AC42" s="2540">
        <f>+AA42</f>
        <v>383500</v>
      </c>
      <c r="AD42" s="2652"/>
      <c r="AE42" s="2626">
        <f t="shared" si="14"/>
        <v>203500</v>
      </c>
      <c r="AF42" s="2626">
        <f t="shared" si="14"/>
        <v>28570</v>
      </c>
      <c r="AG42" s="2627">
        <f t="shared" si="15"/>
        <v>174930</v>
      </c>
      <c r="AH42" s="2493"/>
      <c r="AI42" s="2494"/>
      <c r="AJ42" s="2495"/>
      <c r="AK42" s="2496"/>
    </row>
    <row r="43" spans="1:37" s="1071" customFormat="1" ht="57.75" customHeight="1" x14ac:dyDescent="0.25">
      <c r="A43" s="2629"/>
      <c r="B43" s="3386" t="s">
        <v>879</v>
      </c>
      <c r="C43" s="3386"/>
      <c r="D43" s="3387"/>
      <c r="E43" s="2498">
        <f>+E44+E47+E48+E51+E52</f>
        <v>1107920</v>
      </c>
      <c r="F43" s="2499"/>
      <c r="G43" s="2630"/>
      <c r="H43" s="2631"/>
      <c r="I43" s="2631"/>
      <c r="J43" s="2631"/>
      <c r="K43" s="2631"/>
      <c r="L43" s="2631"/>
      <c r="M43" s="2631"/>
      <c r="N43" s="2631"/>
      <c r="O43" s="2632">
        <f>+O44+O47+O48+O51+O52</f>
        <v>19870</v>
      </c>
      <c r="P43" s="2633">
        <f>+P44+P47+P48+P51+P52</f>
        <v>19870</v>
      </c>
      <c r="Q43" s="2632">
        <f>+Q44+Q47+Q48+Q51+Q52</f>
        <v>485740</v>
      </c>
      <c r="R43" s="2633">
        <f t="shared" ref="R43:AD43" si="16">+R44+R47+R48+R51+R52</f>
        <v>29560</v>
      </c>
      <c r="S43" s="2632">
        <f t="shared" si="16"/>
        <v>519320</v>
      </c>
      <c r="T43" s="2633">
        <f t="shared" si="16"/>
        <v>857407.3</v>
      </c>
      <c r="U43" s="2632">
        <f t="shared" si="16"/>
        <v>562820</v>
      </c>
      <c r="V43" s="2633">
        <f t="shared" si="16"/>
        <v>0</v>
      </c>
      <c r="W43" s="2632">
        <f t="shared" si="16"/>
        <v>595640</v>
      </c>
      <c r="X43" s="2633">
        <f t="shared" si="16"/>
        <v>0</v>
      </c>
      <c r="Y43" s="2632">
        <f t="shared" si="16"/>
        <v>545840</v>
      </c>
      <c r="Z43" s="2633">
        <f t="shared" si="16"/>
        <v>0</v>
      </c>
      <c r="AA43" s="2632">
        <f t="shared" si="16"/>
        <v>961675</v>
      </c>
      <c r="AB43" s="2633">
        <f t="shared" si="16"/>
        <v>0</v>
      </c>
      <c r="AC43" s="2632">
        <f t="shared" si="16"/>
        <v>1107920</v>
      </c>
      <c r="AD43" s="2633">
        <f t="shared" si="16"/>
        <v>0</v>
      </c>
      <c r="AE43" s="2634">
        <f t="shared" si="14"/>
        <v>519320</v>
      </c>
      <c r="AF43" s="2634">
        <f t="shared" si="14"/>
        <v>857407.3</v>
      </c>
      <c r="AG43" s="2635">
        <f t="shared" si="15"/>
        <v>-338087.30000000005</v>
      </c>
      <c r="AH43" s="2522"/>
      <c r="AI43" s="555"/>
      <c r="AJ43" s="826"/>
      <c r="AK43" s="1126"/>
    </row>
    <row r="44" spans="1:37" s="1071" customFormat="1" ht="23.25" customHeight="1" x14ac:dyDescent="0.25">
      <c r="A44" s="2515"/>
      <c r="B44" s="1084"/>
      <c r="C44" s="2550" t="s">
        <v>880</v>
      </c>
      <c r="D44" s="2551"/>
      <c r="E44" s="2552">
        <f>+SUM(E45:E46)</f>
        <v>337710</v>
      </c>
      <c r="F44" s="2553"/>
      <c r="G44" s="2554"/>
      <c r="H44" s="2555"/>
      <c r="I44" s="2555"/>
      <c r="J44" s="2555"/>
      <c r="K44" s="2555"/>
      <c r="L44" s="2555"/>
      <c r="M44" s="2555"/>
      <c r="N44" s="2555"/>
      <c r="O44" s="2616"/>
      <c r="P44" s="2605"/>
      <c r="Q44" s="2555"/>
      <c r="R44" s="2605"/>
      <c r="S44" s="2555">
        <f>+SUM(S45:S46)</f>
        <v>15000</v>
      </c>
      <c r="T44" s="2605">
        <f>+SUM(T45:T46)</f>
        <v>145663.29999999999</v>
      </c>
      <c r="U44" s="2555">
        <f>+SUM(U45:U46)</f>
        <v>58500</v>
      </c>
      <c r="V44" s="2605"/>
      <c r="W44" s="2555">
        <f>+SUM(W45:W46)</f>
        <v>75800</v>
      </c>
      <c r="X44" s="2605"/>
      <c r="Y44" s="2555">
        <f>+SUM(Y45:Y46)</f>
        <v>9500</v>
      </c>
      <c r="Z44" s="2605"/>
      <c r="AA44" s="2555">
        <f>+SUM(AA45:AA46)</f>
        <v>308400</v>
      </c>
      <c r="AB44" s="2605"/>
      <c r="AC44" s="2555">
        <f>+SUM(AC45:AC46)</f>
        <v>337710</v>
      </c>
      <c r="AD44" s="2653"/>
      <c r="AE44" s="2555">
        <f>+SUM(AE45:AE46)</f>
        <v>15000</v>
      </c>
      <c r="AF44" s="2555">
        <f>+SUM(AF45:AF46)</f>
        <v>145663.29999999999</v>
      </c>
      <c r="AG44" s="2521">
        <f t="shared" si="15"/>
        <v>-130663.29999999999</v>
      </c>
      <c r="AH44" s="2522"/>
      <c r="AI44" s="555"/>
      <c r="AJ44" s="826"/>
      <c r="AK44" s="1126"/>
    </row>
    <row r="45" spans="1:37" s="1091" customFormat="1" ht="24.75" customHeight="1" x14ac:dyDescent="0.25">
      <c r="A45" s="2459"/>
      <c r="B45" s="2460"/>
      <c r="C45" s="2460"/>
      <c r="D45" s="2461" t="s">
        <v>3</v>
      </c>
      <c r="E45" s="2462">
        <v>275510</v>
      </c>
      <c r="F45" s="2463"/>
      <c r="G45" s="2464"/>
      <c r="H45" s="2455"/>
      <c r="I45" s="2455"/>
      <c r="J45" s="2455"/>
      <c r="K45" s="2455"/>
      <c r="L45" s="2455"/>
      <c r="M45" s="2455"/>
      <c r="N45" s="2455"/>
      <c r="O45" s="2617"/>
      <c r="P45" s="2556"/>
      <c r="Q45" s="2455"/>
      <c r="R45" s="2556"/>
      <c r="S45" s="2455">
        <v>15000</v>
      </c>
      <c r="T45" s="2556">
        <f>+'5สรุปรายงบ (66 พลางก่อน)'!I20</f>
        <v>12040</v>
      </c>
      <c r="U45" s="2455">
        <f>+S45+43500</f>
        <v>58500</v>
      </c>
      <c r="V45" s="2556"/>
      <c r="W45" s="2455">
        <f>+U45+17300</f>
        <v>75800</v>
      </c>
      <c r="X45" s="2556"/>
      <c r="Y45" s="2455"/>
      <c r="Z45" s="2556"/>
      <c r="AA45" s="2455">
        <f>+W45+173100+20000</f>
        <v>268900</v>
      </c>
      <c r="AB45" s="2556"/>
      <c r="AC45" s="2455">
        <f>+AA45+6610</f>
        <v>275510</v>
      </c>
      <c r="AD45" s="2654"/>
      <c r="AE45" s="2592">
        <f t="shared" ref="AE45:AF52" si="17">+S45</f>
        <v>15000</v>
      </c>
      <c r="AF45" s="2592">
        <f t="shared" si="17"/>
        <v>12040</v>
      </c>
      <c r="AG45" s="2593">
        <f t="shared" si="15"/>
        <v>2960</v>
      </c>
      <c r="AH45" s="2458"/>
      <c r="AI45" s="31"/>
      <c r="AJ45" s="520"/>
      <c r="AK45" s="1128"/>
    </row>
    <row r="46" spans="1:37" s="1091" customFormat="1" ht="24.75" customHeight="1" x14ac:dyDescent="0.25">
      <c r="A46" s="2459"/>
      <c r="B46" s="2460"/>
      <c r="C46" s="2460"/>
      <c r="D46" s="2461" t="s">
        <v>20</v>
      </c>
      <c r="E46" s="2462">
        <v>62200</v>
      </c>
      <c r="F46" s="2463"/>
      <c r="G46" s="2464"/>
      <c r="H46" s="2455"/>
      <c r="I46" s="2455"/>
      <c r="J46" s="2455"/>
      <c r="K46" s="2455"/>
      <c r="L46" s="2455"/>
      <c r="M46" s="2455"/>
      <c r="N46" s="2455"/>
      <c r="O46" s="2617"/>
      <c r="P46" s="2556"/>
      <c r="Q46" s="2455"/>
      <c r="R46" s="2556"/>
      <c r="S46" s="2455"/>
      <c r="T46" s="2556">
        <f>+'5สรุปรายงบ (66 พลางก่อน)'!I21</f>
        <v>133623.29999999999</v>
      </c>
      <c r="U46" s="2455"/>
      <c r="V46" s="2556"/>
      <c r="W46" s="2455"/>
      <c r="X46" s="2556"/>
      <c r="Y46" s="2455">
        <v>9500</v>
      </c>
      <c r="Z46" s="2556"/>
      <c r="AA46" s="2455">
        <f>+Y46+30000</f>
        <v>39500</v>
      </c>
      <c r="AB46" s="2556"/>
      <c r="AC46" s="2455">
        <f>+AA46+22700</f>
        <v>62200</v>
      </c>
      <c r="AD46" s="2654"/>
      <c r="AE46" s="2592">
        <f t="shared" si="17"/>
        <v>0</v>
      </c>
      <c r="AF46" s="2592">
        <f t="shared" si="17"/>
        <v>133623.29999999999</v>
      </c>
      <c r="AG46" s="2593">
        <f t="shared" si="15"/>
        <v>-133623.29999999999</v>
      </c>
      <c r="AH46" s="2458"/>
      <c r="AI46" s="31"/>
      <c r="AJ46" s="520"/>
      <c r="AK46" s="1128"/>
    </row>
    <row r="47" spans="1:37" s="2532" customFormat="1" ht="24" customHeight="1" x14ac:dyDescent="0.5">
      <c r="A47" s="2523"/>
      <c r="B47" s="2492"/>
      <c r="C47" s="3388" t="s">
        <v>881</v>
      </c>
      <c r="D47" s="3389"/>
      <c r="E47" s="2524">
        <v>380440</v>
      </c>
      <c r="F47" s="2525">
        <v>1402300</v>
      </c>
      <c r="G47" s="2526">
        <v>1123500</v>
      </c>
      <c r="H47" s="2527"/>
      <c r="I47" s="2527"/>
      <c r="J47" s="2527"/>
      <c r="K47" s="2527"/>
      <c r="L47" s="2527"/>
      <c r="M47" s="2527"/>
      <c r="N47" s="2527"/>
      <c r="O47" s="2618"/>
      <c r="P47" s="2557"/>
      <c r="Q47" s="2527">
        <v>379460</v>
      </c>
      <c r="R47" s="2557">
        <v>0</v>
      </c>
      <c r="S47" s="2527">
        <f>+Q47</f>
        <v>379460</v>
      </c>
      <c r="T47" s="2557">
        <f>+'5สรุปรายงบ (66 พลางก่อน)'!I22</f>
        <v>311386</v>
      </c>
      <c r="U47" s="2527">
        <f>+S47</f>
        <v>379460</v>
      </c>
      <c r="V47" s="2557"/>
      <c r="W47" s="2527">
        <f>+U47</f>
        <v>379460</v>
      </c>
      <c r="X47" s="2557"/>
      <c r="Y47" s="2527">
        <f>+Q47+980</f>
        <v>380440</v>
      </c>
      <c r="Z47" s="2557"/>
      <c r="AA47" s="2527">
        <f>+Y47</f>
        <v>380440</v>
      </c>
      <c r="AB47" s="2557"/>
      <c r="AC47" s="2527">
        <f>+AA47</f>
        <v>380440</v>
      </c>
      <c r="AD47" s="2655"/>
      <c r="AE47" s="2527">
        <f t="shared" si="17"/>
        <v>379460</v>
      </c>
      <c r="AF47" s="2527">
        <f t="shared" si="17"/>
        <v>311386</v>
      </c>
      <c r="AG47" s="2557">
        <f t="shared" si="15"/>
        <v>68074</v>
      </c>
      <c r="AH47" s="2528"/>
      <c r="AI47" s="2529"/>
      <c r="AJ47" s="2530"/>
      <c r="AK47" s="2531"/>
    </row>
    <row r="48" spans="1:37" s="1071" customFormat="1" ht="39" customHeight="1" x14ac:dyDescent="0.25">
      <c r="A48" s="2515"/>
      <c r="B48" s="2488"/>
      <c r="C48" s="3397" t="s">
        <v>882</v>
      </c>
      <c r="D48" s="3398"/>
      <c r="E48" s="2516">
        <f>+SUM(E49:E50)</f>
        <v>149080</v>
      </c>
      <c r="F48" s="2517">
        <f>SUM(F49:F50)</f>
        <v>2730400</v>
      </c>
      <c r="G48" s="2518">
        <f>SUM(G49:G50)</f>
        <v>2717200</v>
      </c>
      <c r="H48" s="2519"/>
      <c r="I48" s="2519"/>
      <c r="J48" s="2519"/>
      <c r="K48" s="2519"/>
      <c r="L48" s="2519"/>
      <c r="M48" s="2519"/>
      <c r="N48" s="2519"/>
      <c r="O48" s="2619">
        <f>+SUM(O49:O50)</f>
        <v>19870</v>
      </c>
      <c r="P48" s="2558">
        <f>+SUM(P49:P50)</f>
        <v>19870</v>
      </c>
      <c r="Q48" s="2519">
        <f>+SUM(Q49:Q50)</f>
        <v>29560</v>
      </c>
      <c r="R48" s="2558">
        <f>+SUM(R49:R50)</f>
        <v>29560</v>
      </c>
      <c r="S48" s="2519">
        <f t="shared" ref="S48:AD48" si="18">+SUM(S49:S50)</f>
        <v>33160</v>
      </c>
      <c r="T48" s="2558">
        <f>+SUM(T49:T50)</f>
        <v>291384</v>
      </c>
      <c r="U48" s="2519">
        <f>+SUM(U49:U50)</f>
        <v>33160</v>
      </c>
      <c r="V48" s="2558">
        <f t="shared" si="18"/>
        <v>0</v>
      </c>
      <c r="W48" s="2519">
        <f t="shared" si="18"/>
        <v>33160</v>
      </c>
      <c r="X48" s="2558">
        <f t="shared" si="18"/>
        <v>0</v>
      </c>
      <c r="Y48" s="2519">
        <f t="shared" si="18"/>
        <v>33160</v>
      </c>
      <c r="Z48" s="2558">
        <f t="shared" si="18"/>
        <v>0</v>
      </c>
      <c r="AA48" s="2519">
        <f t="shared" si="18"/>
        <v>91120</v>
      </c>
      <c r="AB48" s="2558">
        <f t="shared" si="18"/>
        <v>0</v>
      </c>
      <c r="AC48" s="2519">
        <f t="shared" si="18"/>
        <v>149080</v>
      </c>
      <c r="AD48" s="2558">
        <f t="shared" si="18"/>
        <v>0</v>
      </c>
      <c r="AE48" s="2519">
        <f t="shared" si="17"/>
        <v>33160</v>
      </c>
      <c r="AF48" s="2519">
        <f t="shared" si="17"/>
        <v>291384</v>
      </c>
      <c r="AG48" s="2558">
        <f t="shared" si="15"/>
        <v>-258224</v>
      </c>
      <c r="AH48" s="2522"/>
      <c r="AI48" s="555"/>
      <c r="AJ48" s="826"/>
      <c r="AK48" s="1126"/>
    </row>
    <row r="49" spans="1:37" s="1091" customFormat="1" ht="20.25" customHeight="1" x14ac:dyDescent="0.25">
      <c r="A49" s="2459"/>
      <c r="B49" s="2482"/>
      <c r="C49" s="2482"/>
      <c r="D49" s="2483" t="s">
        <v>635</v>
      </c>
      <c r="E49" s="2462">
        <v>99080</v>
      </c>
      <c r="F49" s="2451">
        <f>1256132+6608</f>
        <v>1262740</v>
      </c>
      <c r="G49" s="2452">
        <f>1249524+16</f>
        <v>1249540</v>
      </c>
      <c r="H49" s="2453"/>
      <c r="I49" s="2454"/>
      <c r="J49" s="2455"/>
      <c r="K49" s="2453"/>
      <c r="L49" s="2456"/>
      <c r="M49" s="2453"/>
      <c r="N49" s="2453"/>
      <c r="O49" s="2620">
        <v>19870</v>
      </c>
      <c r="P49" s="2559">
        <v>19870</v>
      </c>
      <c r="Q49" s="2457">
        <f>+O49+6090</f>
        <v>25960</v>
      </c>
      <c r="R49" s="2559">
        <f>+P49+6090</f>
        <v>25960</v>
      </c>
      <c r="S49" s="2457">
        <f>+Q49+3600</f>
        <v>29560</v>
      </c>
      <c r="T49" s="2559">
        <f>+'5สรุปรายงบ (66 พลางก่อน)'!I25</f>
        <v>182604</v>
      </c>
      <c r="U49" s="2457">
        <f>+S49</f>
        <v>29560</v>
      </c>
      <c r="V49" s="2559"/>
      <c r="W49" s="2457">
        <f>+U49</f>
        <v>29560</v>
      </c>
      <c r="X49" s="2559"/>
      <c r="Y49" s="2457">
        <f>+W49</f>
        <v>29560</v>
      </c>
      <c r="Z49" s="2559"/>
      <c r="AA49" s="2457">
        <f>+Y49+34760</f>
        <v>64320</v>
      </c>
      <c r="AB49" s="2559"/>
      <c r="AC49" s="2457">
        <f>+AA49+34760</f>
        <v>99080</v>
      </c>
      <c r="AD49" s="2656"/>
      <c r="AE49" s="2592">
        <f t="shared" si="17"/>
        <v>29560</v>
      </c>
      <c r="AF49" s="2592">
        <f t="shared" si="17"/>
        <v>182604</v>
      </c>
      <c r="AG49" s="2593">
        <f t="shared" si="15"/>
        <v>-153044</v>
      </c>
      <c r="AH49" s="2458"/>
      <c r="AI49" s="31"/>
      <c r="AJ49" s="472"/>
      <c r="AK49" s="1128"/>
    </row>
    <row r="50" spans="1:37" s="1091" customFormat="1" ht="20.25" customHeight="1" x14ac:dyDescent="0.25">
      <c r="A50" s="2459"/>
      <c r="B50" s="2482"/>
      <c r="C50" s="2482"/>
      <c r="D50" s="2483" t="s">
        <v>1</v>
      </c>
      <c r="E50" s="2462">
        <v>50000</v>
      </c>
      <c r="F50" s="2451">
        <v>1467660</v>
      </c>
      <c r="G50" s="2452">
        <v>1467660</v>
      </c>
      <c r="H50" s="2453"/>
      <c r="I50" s="2454"/>
      <c r="J50" s="2455"/>
      <c r="K50" s="2453"/>
      <c r="L50" s="2456"/>
      <c r="M50" s="2453"/>
      <c r="N50" s="2453"/>
      <c r="O50" s="2620"/>
      <c r="P50" s="2559"/>
      <c r="Q50" s="2457">
        <v>3600</v>
      </c>
      <c r="R50" s="2559">
        <v>3600</v>
      </c>
      <c r="S50" s="2457">
        <f>+Q50</f>
        <v>3600</v>
      </c>
      <c r="T50" s="2559">
        <f>+'5สรุปรายงบ (66 พลางก่อน)'!I24</f>
        <v>108780</v>
      </c>
      <c r="U50" s="2457">
        <f>+S50</f>
        <v>3600</v>
      </c>
      <c r="V50" s="2559"/>
      <c r="W50" s="2457">
        <f>+U50</f>
        <v>3600</v>
      </c>
      <c r="X50" s="2559"/>
      <c r="Y50" s="2457">
        <f>+W50</f>
        <v>3600</v>
      </c>
      <c r="Z50" s="2559"/>
      <c r="AA50" s="2457">
        <f>+Y50+23200</f>
        <v>26800</v>
      </c>
      <c r="AB50" s="2559"/>
      <c r="AC50" s="2457">
        <f>+AA50+23200</f>
        <v>50000</v>
      </c>
      <c r="AD50" s="2656"/>
      <c r="AE50" s="2592">
        <f t="shared" si="17"/>
        <v>3600</v>
      </c>
      <c r="AF50" s="2592">
        <f t="shared" si="17"/>
        <v>108780</v>
      </c>
      <c r="AG50" s="2593">
        <f t="shared" si="15"/>
        <v>-105180</v>
      </c>
      <c r="AH50" s="2458"/>
      <c r="AI50" s="31"/>
      <c r="AJ50" s="472"/>
      <c r="AK50" s="1128"/>
    </row>
    <row r="51" spans="1:37" s="1071" customFormat="1" ht="33.75" customHeight="1" x14ac:dyDescent="0.25">
      <c r="A51" s="2515"/>
      <c r="B51" s="2488"/>
      <c r="C51" s="3397" t="s">
        <v>883</v>
      </c>
      <c r="D51" s="3398"/>
      <c r="E51" s="2516">
        <v>178610</v>
      </c>
      <c r="F51" s="2517" t="e">
        <f>SUM(#REF!)</f>
        <v>#REF!</v>
      </c>
      <c r="G51" s="2518" t="e">
        <f>SUM(#REF!)</f>
        <v>#REF!</v>
      </c>
      <c r="H51" s="2519"/>
      <c r="I51" s="2519"/>
      <c r="J51" s="2519"/>
      <c r="K51" s="2519"/>
      <c r="L51" s="2519"/>
      <c r="M51" s="2519"/>
      <c r="N51" s="2519"/>
      <c r="O51" s="2619"/>
      <c r="P51" s="2558"/>
      <c r="Q51" s="2519">
        <v>76720</v>
      </c>
      <c r="R51" s="2558"/>
      <c r="S51" s="2519">
        <f>+Q51+14980</f>
        <v>91700</v>
      </c>
      <c r="T51" s="2558">
        <f>+'5สรุปรายงบ (66 พลางก่อน)'!I26</f>
        <v>108974</v>
      </c>
      <c r="U51" s="2519">
        <f>+S51</f>
        <v>91700</v>
      </c>
      <c r="V51" s="2558"/>
      <c r="W51" s="2519">
        <f>+U51</f>
        <v>91700</v>
      </c>
      <c r="X51" s="2558"/>
      <c r="Y51" s="2519">
        <f>+W51</f>
        <v>91700</v>
      </c>
      <c r="Z51" s="2558"/>
      <c r="AA51" s="2519">
        <f>+Y51+43455</f>
        <v>135155</v>
      </c>
      <c r="AB51" s="2558"/>
      <c r="AC51" s="2519">
        <f>+AA51+43455</f>
        <v>178610</v>
      </c>
      <c r="AD51" s="2657"/>
      <c r="AE51" s="2519">
        <f t="shared" si="17"/>
        <v>91700</v>
      </c>
      <c r="AF51" s="2519">
        <f t="shared" si="17"/>
        <v>108974</v>
      </c>
      <c r="AG51" s="2558">
        <f t="shared" si="15"/>
        <v>-17274</v>
      </c>
      <c r="AH51" s="2522"/>
      <c r="AI51" s="555"/>
      <c r="AJ51" s="826"/>
      <c r="AK51" s="1126"/>
    </row>
    <row r="52" spans="1:37" s="1071" customFormat="1" ht="33.75" customHeight="1" thickBot="1" x14ac:dyDescent="0.3">
      <c r="A52" s="2515"/>
      <c r="B52" s="1084"/>
      <c r="C52" s="3399" t="s">
        <v>884</v>
      </c>
      <c r="D52" s="3400"/>
      <c r="E52" s="1162">
        <v>62080</v>
      </c>
      <c r="F52" s="1204">
        <v>2533700</v>
      </c>
      <c r="G52" s="1155">
        <f>2116800+326624</f>
        <v>2443424</v>
      </c>
      <c r="H52" s="2520"/>
      <c r="I52" s="2520"/>
      <c r="J52" s="2520"/>
      <c r="K52" s="2520"/>
      <c r="L52" s="2520"/>
      <c r="M52" s="2520"/>
      <c r="N52" s="2520"/>
      <c r="O52" s="2628"/>
      <c r="P52" s="2521"/>
      <c r="Q52" s="2520"/>
      <c r="R52" s="2521"/>
      <c r="S52" s="2520"/>
      <c r="T52" s="2521">
        <f>+'5สรุปรายงบ (66 พลางก่อน)'!I27</f>
        <v>0</v>
      </c>
      <c r="U52" s="2520"/>
      <c r="V52" s="2521"/>
      <c r="W52" s="2520">
        <v>15520</v>
      </c>
      <c r="X52" s="2521"/>
      <c r="Y52" s="2520">
        <f>+W52+15520</f>
        <v>31040</v>
      </c>
      <c r="Z52" s="2521"/>
      <c r="AA52" s="2520">
        <f>+Y52+15520</f>
        <v>46560</v>
      </c>
      <c r="AB52" s="2521"/>
      <c r="AC52" s="2520">
        <f>+AA52+15520</f>
        <v>62080</v>
      </c>
      <c r="AD52" s="2658"/>
      <c r="AE52" s="2520">
        <f t="shared" si="17"/>
        <v>0</v>
      </c>
      <c r="AF52" s="2520">
        <f t="shared" si="17"/>
        <v>0</v>
      </c>
      <c r="AG52" s="2521">
        <f t="shared" si="15"/>
        <v>0</v>
      </c>
      <c r="AH52" s="2522"/>
      <c r="AI52" s="555"/>
      <c r="AJ52" s="826"/>
      <c r="AK52" s="1126"/>
    </row>
    <row r="53" spans="1:37" ht="26.25" customHeight="1" thickBot="1" x14ac:dyDescent="0.35">
      <c r="A53" s="3392" t="s">
        <v>28</v>
      </c>
      <c r="B53" s="3393"/>
      <c r="C53" s="3393"/>
      <c r="D53" s="3394"/>
      <c r="E53" s="2405">
        <f>+E43+E40+E27+E26+E6</f>
        <v>15367787</v>
      </c>
      <c r="F53" s="2405" t="e">
        <f>F4+F30+#REF!+#REF!+F47+F48+F51+F52+#REF!+#REF!</f>
        <v>#REF!</v>
      </c>
      <c r="G53" s="2406" t="e">
        <f>G6+#REF!</f>
        <v>#REF!</v>
      </c>
      <c r="H53" s="2407" t="e">
        <f>F53-G53</f>
        <v>#REF!</v>
      </c>
      <c r="I53" s="2407" t="e">
        <f>I6+I30+#REF!</f>
        <v>#REF!</v>
      </c>
      <c r="J53" s="2407" t="e">
        <f>J6+#REF!</f>
        <v>#REF!</v>
      </c>
      <c r="K53" s="2407" t="e">
        <f>K4+K30+#REF!+#REF!+K47+K48+K51+K52+#REF!+#REF!</f>
        <v>#REF!</v>
      </c>
      <c r="L53" s="2407" t="e">
        <f>L6+L30+#REF!</f>
        <v>#REF!</v>
      </c>
      <c r="M53" s="2407" t="e">
        <f>M6+M30+#REF!</f>
        <v>#REF!</v>
      </c>
      <c r="N53" s="2407" t="e">
        <f>N6+N30+#REF!</f>
        <v>#REF!</v>
      </c>
      <c r="O53" s="2621">
        <f>+O43+O40+O27+O26+O6</f>
        <v>949931</v>
      </c>
      <c r="P53" s="2606">
        <f>+P43+P40+P27+P26+P6</f>
        <v>1590436.3200000003</v>
      </c>
      <c r="Q53" s="2405">
        <f t="shared" ref="Q53:AG53" si="19">+Q43+Q40+Q27+Q26+Q6</f>
        <v>2536258</v>
      </c>
      <c r="R53" s="2606">
        <f t="shared" si="19"/>
        <v>2198062.27</v>
      </c>
      <c r="S53" s="2405">
        <f t="shared" si="19"/>
        <v>3831938.6</v>
      </c>
      <c r="T53" s="2606">
        <f>+T43+T40+T27+T26+T6</f>
        <v>3027105.2</v>
      </c>
      <c r="U53" s="2405">
        <f t="shared" si="19"/>
        <v>5295487.5999999996</v>
      </c>
      <c r="V53" s="2606">
        <f t="shared" si="19"/>
        <v>0</v>
      </c>
      <c r="W53" s="2405">
        <f t="shared" si="19"/>
        <v>6880156.5999999996</v>
      </c>
      <c r="X53" s="2606">
        <f t="shared" si="19"/>
        <v>0</v>
      </c>
      <c r="Y53" s="2405">
        <f>+Y43+Y40+Y27+Y26+Y6</f>
        <v>8418590.5999999996</v>
      </c>
      <c r="Z53" s="2606">
        <f t="shared" si="19"/>
        <v>0</v>
      </c>
      <c r="AA53" s="2405">
        <f t="shared" si="19"/>
        <v>10585860.6</v>
      </c>
      <c r="AB53" s="2606">
        <f t="shared" si="19"/>
        <v>0</v>
      </c>
      <c r="AC53" s="2405">
        <f t="shared" si="19"/>
        <v>10030770.6</v>
      </c>
      <c r="AD53" s="2606">
        <f t="shared" si="19"/>
        <v>0</v>
      </c>
      <c r="AE53" s="2405">
        <f>+AE43+AE40+AE27+AE26+AE6</f>
        <v>3831938.6</v>
      </c>
      <c r="AF53" s="2405">
        <f>+AF43+AF40+AF27+AF26+AF6</f>
        <v>3027105.2</v>
      </c>
      <c r="AG53" s="2405">
        <f t="shared" si="19"/>
        <v>-141466.59999999986</v>
      </c>
    </row>
    <row r="54" spans="1:37" ht="26.25" customHeight="1" x14ac:dyDescent="0.3">
      <c r="AE54" s="395">
        <f>+S53</f>
        <v>3831938.6</v>
      </c>
      <c r="AF54" s="395">
        <f>+T53</f>
        <v>3027105.2</v>
      </c>
      <c r="AG54" s="596"/>
    </row>
  </sheetData>
  <mergeCells count="36">
    <mergeCell ref="A1:AG1"/>
    <mergeCell ref="O4:AG4"/>
    <mergeCell ref="A5:AG5"/>
    <mergeCell ref="A39:AG39"/>
    <mergeCell ref="AC2:AD2"/>
    <mergeCell ref="M2:M3"/>
    <mergeCell ref="N2:N3"/>
    <mergeCell ref="O2:P2"/>
    <mergeCell ref="Q2:R2"/>
    <mergeCell ref="A2:D3"/>
    <mergeCell ref="E2:E3"/>
    <mergeCell ref="F2:F3"/>
    <mergeCell ref="G2:G3"/>
    <mergeCell ref="H2:H3"/>
    <mergeCell ref="AA2:AB2"/>
    <mergeCell ref="W2:X2"/>
    <mergeCell ref="AE2:AG2"/>
    <mergeCell ref="B38:D38"/>
    <mergeCell ref="B37:D37"/>
    <mergeCell ref="S2:T2"/>
    <mergeCell ref="A31:D31"/>
    <mergeCell ref="U2:V2"/>
    <mergeCell ref="I2:I3"/>
    <mergeCell ref="J2:J3"/>
    <mergeCell ref="K2:K3"/>
    <mergeCell ref="L2:L3"/>
    <mergeCell ref="C42:D42"/>
    <mergeCell ref="B43:D43"/>
    <mergeCell ref="C47:D47"/>
    <mergeCell ref="Y2:Z2"/>
    <mergeCell ref="A53:D53"/>
    <mergeCell ref="B40:D40"/>
    <mergeCell ref="C41:D41"/>
    <mergeCell ref="C48:D48"/>
    <mergeCell ref="C51:D51"/>
    <mergeCell ref="C52:D52"/>
  </mergeCells>
  <pageMargins left="0" right="0" top="0" bottom="0" header="0.31496062992126" footer="0.31496062992126"/>
  <pageSetup paperSize="9" scale="6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4B4D2-4D72-4D4F-9F5B-09100FBC30D0}">
  <sheetPr>
    <tabColor rgb="FFFFFF00"/>
  </sheetPr>
  <dimension ref="K1:M31"/>
  <sheetViews>
    <sheetView workbookViewId="0">
      <selection activeCell="L13" sqref="L13"/>
    </sheetView>
  </sheetViews>
  <sheetFormatPr defaultRowHeight="21.75" x14ac:dyDescent="0.5"/>
  <cols>
    <col min="2" max="2" width="20.42578125" customWidth="1"/>
    <col min="3" max="3" width="10.42578125" bestFit="1" customWidth="1"/>
    <col min="12" max="12" width="32.28515625" customWidth="1"/>
    <col min="13" max="13" width="12.42578125" bestFit="1" customWidth="1"/>
  </cols>
  <sheetData>
    <row r="1" spans="11:13" x14ac:dyDescent="0.5">
      <c r="K1" t="s">
        <v>850</v>
      </c>
    </row>
    <row r="2" spans="11:13" x14ac:dyDescent="0.5">
      <c r="K2" t="s">
        <v>851</v>
      </c>
      <c r="L2" t="s">
        <v>145</v>
      </c>
      <c r="M2" t="s">
        <v>852</v>
      </c>
    </row>
    <row r="3" spans="11:13" x14ac:dyDescent="0.5">
      <c r="K3">
        <v>1</v>
      </c>
      <c r="L3" s="2367" t="s">
        <v>863</v>
      </c>
      <c r="M3" s="2366">
        <v>43.454999999999998</v>
      </c>
    </row>
    <row r="4" spans="11:13" x14ac:dyDescent="0.5">
      <c r="K4">
        <v>2</v>
      </c>
      <c r="L4" s="2367" t="s">
        <v>47</v>
      </c>
      <c r="M4" s="2366">
        <v>5.9540463781545281</v>
      </c>
    </row>
    <row r="5" spans="11:13" x14ac:dyDescent="0.5">
      <c r="K5">
        <v>3</v>
      </c>
      <c r="L5" s="2367" t="s">
        <v>48</v>
      </c>
      <c r="M5" s="2366">
        <v>23.354714285714287</v>
      </c>
    </row>
    <row r="6" spans="11:13" x14ac:dyDescent="0.5">
      <c r="K6">
        <v>4</v>
      </c>
      <c r="L6" s="2367" t="s">
        <v>49</v>
      </c>
      <c r="M6" s="2366">
        <v>7.5158134660728324</v>
      </c>
    </row>
    <row r="7" spans="11:13" x14ac:dyDescent="0.5">
      <c r="K7">
        <v>5</v>
      </c>
      <c r="L7" s="2367" t="s">
        <v>50</v>
      </c>
      <c r="M7" s="2366">
        <v>12.718232044198896</v>
      </c>
    </row>
    <row r="8" spans="11:13" x14ac:dyDescent="0.5">
      <c r="K8">
        <v>6</v>
      </c>
      <c r="L8" s="2367" t="s">
        <v>54</v>
      </c>
      <c r="M8" s="2366">
        <v>24.097639055622249</v>
      </c>
    </row>
    <row r="9" spans="11:13" x14ac:dyDescent="0.5">
      <c r="K9">
        <v>7</v>
      </c>
      <c r="L9" s="2367" t="s">
        <v>53</v>
      </c>
      <c r="M9" s="2366">
        <v>25.734517542097013</v>
      </c>
    </row>
    <row r="10" spans="11:13" x14ac:dyDescent="0.5">
      <c r="K10">
        <v>8</v>
      </c>
      <c r="L10" s="2367" t="s">
        <v>51</v>
      </c>
      <c r="M10" s="2366">
        <v>6.215962441314554</v>
      </c>
    </row>
    <row r="11" spans="11:13" x14ac:dyDescent="0.5">
      <c r="K11">
        <v>9</v>
      </c>
      <c r="L11" s="2367" t="s">
        <v>55</v>
      </c>
      <c r="M11" s="2366">
        <v>4.7007233273056057</v>
      </c>
    </row>
    <row r="12" spans="11:13" x14ac:dyDescent="0.5">
      <c r="K12">
        <v>10</v>
      </c>
      <c r="L12" s="3" t="s">
        <v>52</v>
      </c>
      <c r="M12" s="2366">
        <v>13.35625468164794</v>
      </c>
    </row>
    <row r="13" spans="11:13" x14ac:dyDescent="0.5">
      <c r="K13">
        <v>11</v>
      </c>
      <c r="L13" s="2367" t="s">
        <v>56</v>
      </c>
      <c r="M13" s="2366">
        <v>1.3455208333333333</v>
      </c>
    </row>
    <row r="16" spans="11:13" x14ac:dyDescent="0.5">
      <c r="K16" t="s">
        <v>853</v>
      </c>
    </row>
    <row r="17" spans="11:13" x14ac:dyDescent="0.5">
      <c r="K17">
        <v>1</v>
      </c>
      <c r="L17" t="s">
        <v>1016</v>
      </c>
      <c r="M17" s="467">
        <v>15.505993187140726</v>
      </c>
    </row>
    <row r="18" spans="11:13" x14ac:dyDescent="0.5">
      <c r="K18">
        <v>2</v>
      </c>
      <c r="L18" t="s">
        <v>1017</v>
      </c>
      <c r="M18" s="467">
        <v>65.403486662465866</v>
      </c>
    </row>
    <row r="19" spans="11:13" x14ac:dyDescent="0.5">
      <c r="K19">
        <v>3</v>
      </c>
      <c r="L19" t="s">
        <v>1018</v>
      </c>
      <c r="M19" s="467">
        <v>61.253731343283583</v>
      </c>
    </row>
    <row r="20" spans="11:13" x14ac:dyDescent="0.5">
      <c r="K20">
        <v>4</v>
      </c>
      <c r="L20" t="s">
        <v>1019</v>
      </c>
      <c r="M20" s="2366">
        <v>9.8681517703522594</v>
      </c>
    </row>
    <row r="21" spans="11:13" x14ac:dyDescent="0.5">
      <c r="K21">
        <v>5</v>
      </c>
      <c r="L21" t="s">
        <v>1020</v>
      </c>
      <c r="M21" s="2366" t="e">
        <v>#DIV/0!</v>
      </c>
    </row>
    <row r="22" spans="11:13" x14ac:dyDescent="0.5">
      <c r="K22">
        <v>6</v>
      </c>
      <c r="L22" t="s">
        <v>1021</v>
      </c>
      <c r="M22" s="467">
        <v>2.8819522419342766E-2</v>
      </c>
    </row>
    <row r="23" spans="11:13" x14ac:dyDescent="0.5">
      <c r="K23">
        <v>7</v>
      </c>
      <c r="L23" t="s">
        <v>1022</v>
      </c>
      <c r="M23" s="467">
        <v>3.4399117971334068</v>
      </c>
    </row>
    <row r="24" spans="11:13" x14ac:dyDescent="0.5">
      <c r="K24">
        <v>8</v>
      </c>
      <c r="L24" t="s">
        <v>1023</v>
      </c>
      <c r="M24" s="467">
        <v>2.7697516659475525</v>
      </c>
    </row>
    <row r="25" spans="11:13" x14ac:dyDescent="0.5">
      <c r="K25">
        <v>9</v>
      </c>
      <c r="L25" t="s">
        <v>1024</v>
      </c>
      <c r="M25" s="467">
        <v>0.4616692344472188</v>
      </c>
    </row>
    <row r="26" spans="11:13" x14ac:dyDescent="0.5">
      <c r="K26">
        <v>10</v>
      </c>
      <c r="L26" t="s">
        <v>1025</v>
      </c>
      <c r="M26" s="467">
        <v>0</v>
      </c>
    </row>
    <row r="27" spans="11:13" x14ac:dyDescent="0.5">
      <c r="K27">
        <v>11</v>
      </c>
      <c r="L27" t="s">
        <v>1026</v>
      </c>
      <c r="M27" s="467">
        <v>0</v>
      </c>
    </row>
    <row r="28" spans="11:13" x14ac:dyDescent="0.5">
      <c r="K28">
        <v>12</v>
      </c>
      <c r="L28" t="s">
        <v>1027</v>
      </c>
      <c r="M28" s="2366">
        <v>0.50693978638873127</v>
      </c>
    </row>
    <row r="29" spans="11:13" x14ac:dyDescent="0.5">
      <c r="K29">
        <v>13</v>
      </c>
      <c r="L29" t="s">
        <v>1028</v>
      </c>
      <c r="M29" s="2366">
        <v>2.7737864077669903</v>
      </c>
    </row>
    <row r="30" spans="11:13" x14ac:dyDescent="0.5">
      <c r="K30">
        <v>14</v>
      </c>
      <c r="L30" t="s">
        <v>1029</v>
      </c>
      <c r="M30" s="2366">
        <v>0.83602719875153275</v>
      </c>
    </row>
    <row r="31" spans="11:13" x14ac:dyDescent="0.5">
      <c r="K31">
        <v>15</v>
      </c>
      <c r="L31" t="s">
        <v>1049</v>
      </c>
      <c r="M31" s="467">
        <v>0</v>
      </c>
    </row>
  </sheetData>
  <pageMargins left="0" right="0" top="0.75" bottom="0.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R83"/>
  <sheetViews>
    <sheetView view="pageBreakPreview" zoomScaleNormal="100" zoomScaleSheetLayoutView="100" workbookViewId="0">
      <pane ySplit="6" topLeftCell="A7" activePane="bottomLeft" state="frozen"/>
      <selection pane="bottomLeft" activeCell="C9" sqref="C9"/>
    </sheetView>
  </sheetViews>
  <sheetFormatPr defaultColWidth="8.85546875" defaultRowHeight="18.75" x14ac:dyDescent="0.3"/>
  <cols>
    <col min="1" max="1" width="41.42578125" style="366" customWidth="1"/>
    <col min="2" max="2" width="12.85546875" style="366" customWidth="1"/>
    <col min="3" max="3" width="11.28515625" style="366" customWidth="1"/>
    <col min="4" max="4" width="12.85546875" style="366" customWidth="1"/>
    <col min="5" max="5" width="11.42578125" style="385" customWidth="1"/>
    <col min="6" max="6" width="12.28515625" style="366" customWidth="1"/>
    <col min="7" max="7" width="11.140625" style="366" customWidth="1"/>
    <col min="8" max="8" width="10.7109375" style="366" customWidth="1"/>
    <col min="9" max="9" width="10.85546875" style="366" customWidth="1"/>
    <col min="10" max="10" width="8.5703125" style="366" hidden="1" customWidth="1"/>
    <col min="11" max="11" width="8.42578125" style="366" customWidth="1"/>
    <col min="12" max="12" width="8.140625" style="366" customWidth="1"/>
    <col min="13" max="13" width="11.85546875" style="385" customWidth="1"/>
    <col min="14" max="14" width="9.85546875" style="366" customWidth="1"/>
    <col min="15" max="15" width="12.28515625" style="366" customWidth="1"/>
    <col min="16" max="16" width="11.85546875" style="366" customWidth="1"/>
    <col min="17" max="17" width="11.7109375" style="366" customWidth="1"/>
    <col min="18" max="16384" width="8.85546875" style="366"/>
  </cols>
  <sheetData>
    <row r="1" spans="1:16" s="673" customFormat="1" ht="18.75" customHeight="1" thickTop="1" thickBot="1" x14ac:dyDescent="0.55000000000000004">
      <c r="A1" s="3456" t="s">
        <v>831</v>
      </c>
      <c r="B1" s="3456"/>
      <c r="C1" s="3456"/>
      <c r="D1" s="3456"/>
      <c r="E1" s="3456"/>
      <c r="F1" s="3456"/>
      <c r="G1" s="3456"/>
      <c r="H1" s="3456"/>
      <c r="I1" s="3456"/>
      <c r="J1" s="3456"/>
      <c r="K1" s="2318" t="s">
        <v>340</v>
      </c>
      <c r="L1" s="3454">
        <f ca="1">+TODAY()</f>
        <v>45660</v>
      </c>
      <c r="M1" s="3455"/>
    </row>
    <row r="2" spans="1:16" ht="5.25" customHeight="1" thickTop="1" thickBot="1" x14ac:dyDescent="0.35">
      <c r="A2" s="383"/>
      <c r="B2" s="383"/>
      <c r="C2" s="383"/>
      <c r="D2" s="383"/>
      <c r="E2" s="383"/>
      <c r="F2" s="383"/>
      <c r="G2" s="383"/>
      <c r="H2" s="383"/>
      <c r="I2" s="383"/>
      <c r="J2" s="831"/>
      <c r="K2" s="3457"/>
      <c r="L2" s="3457"/>
      <c r="M2" s="383"/>
    </row>
    <row r="3" spans="1:16" s="673" customFormat="1" ht="26.25" customHeight="1" thickTop="1" x14ac:dyDescent="0.5">
      <c r="A3" s="2310"/>
      <c r="B3" s="2311" t="s">
        <v>29</v>
      </c>
      <c r="C3" s="3439" t="s">
        <v>67</v>
      </c>
      <c r="D3" s="3440"/>
      <c r="E3" s="3441"/>
      <c r="F3" s="3447" t="s">
        <v>613</v>
      </c>
      <c r="G3" s="3442" t="s">
        <v>58</v>
      </c>
      <c r="H3" s="3443"/>
      <c r="I3" s="3443"/>
      <c r="J3" s="3443"/>
      <c r="K3" s="3443"/>
      <c r="L3" s="3443"/>
      <c r="M3" s="3444" t="s">
        <v>612</v>
      </c>
      <c r="P3" s="673" t="e">
        <f>'[11] สรุป ฝบท.'!$B$4+#REF!+#REF!+'[12]สรุป สสป.'!$B$4+'[13]สรุป สภท.'!$B$4+'[14]สรุป สทส.'!$B$4+'[15]สรุป สกก.'!$B$4+'[16]สรุป สปร.'!$B$4+'[17]สรุป สพก.'!$B$4+'[18]สรุป สปข.'!$B$4+'[10]สรุป ผอ.ศสส ผชช.'!$B$4</f>
        <v>#REF!</v>
      </c>
    </row>
    <row r="4" spans="1:16" s="385" customFormat="1" x14ac:dyDescent="0.3">
      <c r="A4" s="1643" t="s">
        <v>0</v>
      </c>
      <c r="B4" s="444" t="s">
        <v>600</v>
      </c>
      <c r="C4" s="444" t="s">
        <v>68</v>
      </c>
      <c r="D4" s="3464" t="s">
        <v>904</v>
      </c>
      <c r="E4" s="3449" t="s">
        <v>28</v>
      </c>
      <c r="F4" s="3448"/>
      <c r="G4" s="1640" t="s">
        <v>64</v>
      </c>
      <c r="H4" s="493" t="s">
        <v>34</v>
      </c>
      <c r="I4" s="444" t="s">
        <v>62</v>
      </c>
      <c r="J4" s="444" t="s">
        <v>71</v>
      </c>
      <c r="K4" s="444" t="s">
        <v>71</v>
      </c>
      <c r="L4" s="445" t="s">
        <v>73</v>
      </c>
      <c r="M4" s="3445"/>
    </row>
    <row r="5" spans="1:16" s="385" customFormat="1" ht="24.75" customHeight="1" x14ac:dyDescent="0.3">
      <c r="A5" s="1644"/>
      <c r="B5" s="444" t="s">
        <v>830</v>
      </c>
      <c r="C5" s="444" t="s">
        <v>111</v>
      </c>
      <c r="D5" s="3465"/>
      <c r="E5" s="3450"/>
      <c r="F5" s="518"/>
      <c r="G5" s="1641"/>
      <c r="H5" s="493"/>
      <c r="I5" s="444"/>
      <c r="J5" s="3452" t="s">
        <v>64</v>
      </c>
      <c r="K5" s="444" t="s">
        <v>72</v>
      </c>
      <c r="L5" s="445" t="s">
        <v>62</v>
      </c>
      <c r="M5" s="3445"/>
      <c r="N5" s="2242"/>
    </row>
    <row r="6" spans="1:16" s="385" customFormat="1" ht="13.5" customHeight="1" x14ac:dyDescent="0.3">
      <c r="A6" s="1645"/>
      <c r="B6" s="446"/>
      <c r="C6" s="446"/>
      <c r="D6" s="517"/>
      <c r="E6" s="3451"/>
      <c r="F6" s="447"/>
      <c r="G6" s="1642"/>
      <c r="H6" s="483"/>
      <c r="I6" s="446"/>
      <c r="J6" s="3453"/>
      <c r="K6" s="446"/>
      <c r="L6" s="1808"/>
      <c r="M6" s="3446"/>
    </row>
    <row r="7" spans="1:16" s="385" customFormat="1" ht="20.100000000000001" customHeight="1" x14ac:dyDescent="0.3">
      <c r="A7" s="2312" t="s">
        <v>854</v>
      </c>
      <c r="B7" s="2275">
        <f t="shared" ref="B7:I7" si="0">+B8+B14</f>
        <v>20618300</v>
      </c>
      <c r="C7" s="2275">
        <f t="shared" si="0"/>
        <v>5697720</v>
      </c>
      <c r="D7" s="2672">
        <f t="shared" si="0"/>
        <v>1086500</v>
      </c>
      <c r="E7" s="2276">
        <f t="shared" si="0"/>
        <v>6784220</v>
      </c>
      <c r="F7" s="2277">
        <f t="shared" si="0"/>
        <v>13834080</v>
      </c>
      <c r="G7" s="2278">
        <f t="shared" si="0"/>
        <v>385</v>
      </c>
      <c r="H7" s="2279">
        <f>+H8+H14</f>
        <v>0</v>
      </c>
      <c r="I7" s="2280">
        <f t="shared" si="0"/>
        <v>385</v>
      </c>
      <c r="J7" s="2281">
        <f>+G7*100/F7</f>
        <v>2.7829823161352255E-3</v>
      </c>
      <c r="K7" s="2281">
        <f t="shared" ref="K7:K12" si="1">+H7*100/F7</f>
        <v>0</v>
      </c>
      <c r="L7" s="2282">
        <f>+I7*100/F7</f>
        <v>2.7829823161352255E-3</v>
      </c>
      <c r="M7" s="2283">
        <f t="shared" ref="M7:M30" si="2">+F7-G7</f>
        <v>13833695</v>
      </c>
      <c r="N7" s="2669">
        <f>+M7-M10</f>
        <v>13644980</v>
      </c>
      <c r="O7" s="406" t="s">
        <v>903</v>
      </c>
    </row>
    <row r="8" spans="1:16" ht="20.100000000000001" customHeight="1" x14ac:dyDescent="0.3">
      <c r="A8" s="2240" t="s">
        <v>855</v>
      </c>
      <c r="B8" s="2243">
        <f>+B9+B10</f>
        <v>16682300</v>
      </c>
      <c r="C8" s="2243">
        <f t="shared" ref="C8:I8" si="3">+C9+C10</f>
        <v>5697720</v>
      </c>
      <c r="D8" s="2243">
        <f t="shared" si="3"/>
        <v>1086500</v>
      </c>
      <c r="E8" s="2244">
        <f t="shared" si="3"/>
        <v>6784220</v>
      </c>
      <c r="F8" s="2245">
        <f t="shared" si="3"/>
        <v>9898080</v>
      </c>
      <c r="G8" s="2246">
        <f t="shared" si="3"/>
        <v>-973615</v>
      </c>
      <c r="H8" s="2247">
        <f>+H9+H10</f>
        <v>0</v>
      </c>
      <c r="I8" s="2243">
        <f t="shared" si="3"/>
        <v>-973615</v>
      </c>
      <c r="J8" s="2248">
        <f>+G8*100/F8</f>
        <v>-9.8364026154567359</v>
      </c>
      <c r="K8" s="2248">
        <f>+(H8*100/F8)-0.01</f>
        <v>-0.01</v>
      </c>
      <c r="L8" s="2249">
        <f>(I8*100/F8)-0.01</f>
        <v>-9.8464026154567357</v>
      </c>
      <c r="M8" s="2241">
        <f t="shared" si="2"/>
        <v>10871695</v>
      </c>
      <c r="O8" s="406"/>
    </row>
    <row r="9" spans="1:16" ht="20.100000000000001" customHeight="1" x14ac:dyDescent="0.3">
      <c r="A9" s="2373" t="s">
        <v>856</v>
      </c>
      <c r="B9" s="937">
        <f>12524700-2277800</f>
        <v>10246900</v>
      </c>
      <c r="C9" s="937">
        <v>537920</v>
      </c>
      <c r="D9" s="2374"/>
      <c r="E9" s="2375">
        <f>SUM(C9:D9)</f>
        <v>537920</v>
      </c>
      <c r="F9" s="2376">
        <f>B9-E9</f>
        <v>9708980</v>
      </c>
      <c r="G9" s="2377">
        <f>SUM(H9:I9)</f>
        <v>-974000</v>
      </c>
      <c r="H9" s="2378">
        <f>+('4 สรุปตามการจัดสรร 2+3'!E38)-H15</f>
        <v>0</v>
      </c>
      <c r="I9" s="937">
        <f>+('4 สรุปตามการจัดสรร 2+3'!F38)-I15</f>
        <v>-974000</v>
      </c>
      <c r="J9" s="2379">
        <f>+G9*100/F9</f>
        <v>-10.031949803171909</v>
      </c>
      <c r="K9" s="2379">
        <f>+(H9*100/F9)-0.01</f>
        <v>-0.01</v>
      </c>
      <c r="L9" s="2380">
        <f>(I9*100/F9)-0.01</f>
        <v>-10.041949803171908</v>
      </c>
      <c r="M9" s="2381">
        <f t="shared" si="2"/>
        <v>10682980</v>
      </c>
      <c r="O9" s="406"/>
    </row>
    <row r="10" spans="1:16" s="673" customFormat="1" ht="22.5" customHeight="1" x14ac:dyDescent="0.5">
      <c r="A10" s="2344" t="s">
        <v>864</v>
      </c>
      <c r="B10" s="2284">
        <f t="shared" ref="B10:I10" si="4">+SUM(B11:B13)</f>
        <v>6435400</v>
      </c>
      <c r="C10" s="2284">
        <f t="shared" si="4"/>
        <v>5159800</v>
      </c>
      <c r="D10" s="2284">
        <f t="shared" si="4"/>
        <v>1086500</v>
      </c>
      <c r="E10" s="2370">
        <f t="shared" si="4"/>
        <v>6246300</v>
      </c>
      <c r="F10" s="2371">
        <f t="shared" si="4"/>
        <v>189100</v>
      </c>
      <c r="G10" s="2372">
        <f t="shared" si="4"/>
        <v>385</v>
      </c>
      <c r="H10" s="2284">
        <f t="shared" si="4"/>
        <v>0</v>
      </c>
      <c r="I10" s="2345">
        <f t="shared" si="4"/>
        <v>385</v>
      </c>
      <c r="J10" s="2285">
        <f t="shared" ref="J10:J22" si="5">+G10*100/F10</f>
        <v>0.20359598096245374</v>
      </c>
      <c r="K10" s="2285">
        <f t="shared" si="1"/>
        <v>0</v>
      </c>
      <c r="L10" s="2286">
        <f t="shared" ref="L10:L15" si="6">+I10*100/F10</f>
        <v>0.20359598096245374</v>
      </c>
      <c r="M10" s="2287">
        <f t="shared" si="2"/>
        <v>188715</v>
      </c>
      <c r="O10" s="2347"/>
    </row>
    <row r="11" spans="1:16" ht="20.100000000000001" customHeight="1" x14ac:dyDescent="0.3">
      <c r="A11" s="2369" t="s">
        <v>857</v>
      </c>
      <c r="B11" s="372">
        <v>3435400</v>
      </c>
      <c r="C11" s="372">
        <v>2176200</v>
      </c>
      <c r="D11" s="1052">
        <v>1086500</v>
      </c>
      <c r="E11" s="396">
        <f>SUM(C11:D11)</f>
        <v>3262700</v>
      </c>
      <c r="F11" s="1740">
        <f>+B11-E11</f>
        <v>172700</v>
      </c>
      <c r="G11" s="2250">
        <f>SUM(H11:I11)</f>
        <v>385</v>
      </c>
      <c r="H11" s="2251">
        <f>+'15.ข้อมูลกรอบตัวอย่างโดย อกม'!K5</f>
        <v>0</v>
      </c>
      <c r="I11" s="2251">
        <f>+'15.ข้อมูลกรอบตัวอย่างโดย อกม'!L5</f>
        <v>385</v>
      </c>
      <c r="J11" s="2252">
        <f t="shared" si="5"/>
        <v>0.22292993630573249</v>
      </c>
      <c r="K11" s="2252">
        <f t="shared" si="1"/>
        <v>0</v>
      </c>
      <c r="L11" s="2253">
        <f t="shared" si="6"/>
        <v>0.22292993630573249</v>
      </c>
      <c r="M11" s="2231">
        <f t="shared" si="2"/>
        <v>172315</v>
      </c>
      <c r="O11" s="406">
        <f>+B9+B15</f>
        <v>14182900</v>
      </c>
    </row>
    <row r="12" spans="1:16" ht="20.100000000000001" customHeight="1" x14ac:dyDescent="0.3">
      <c r="A12" s="2313" t="s">
        <v>858</v>
      </c>
      <c r="B12" s="372">
        <v>1000000</v>
      </c>
      <c r="C12" s="372">
        <v>1000000</v>
      </c>
      <c r="D12" s="1052"/>
      <c r="E12" s="396">
        <f>SUM(C12:D12)</f>
        <v>1000000</v>
      </c>
      <c r="F12" s="1740">
        <f>+B12-E12</f>
        <v>0</v>
      </c>
      <c r="G12" s="2250">
        <f>SUM(H12:I12)</f>
        <v>0</v>
      </c>
      <c r="H12" s="2251">
        <f>+'14.พัฒนา ศกอ.'!K5</f>
        <v>0</v>
      </c>
      <c r="I12" s="2251">
        <f>+'8.รายงานสถานการณ์โดย ศกอ.'!L5</f>
        <v>0</v>
      </c>
      <c r="J12" s="2319" t="e">
        <f t="shared" si="5"/>
        <v>#DIV/0!</v>
      </c>
      <c r="K12" s="526" t="e">
        <f t="shared" si="1"/>
        <v>#DIV/0!</v>
      </c>
      <c r="L12" s="2253" t="e">
        <f t="shared" si="6"/>
        <v>#DIV/0!</v>
      </c>
      <c r="M12" s="2231">
        <f t="shared" si="2"/>
        <v>0</v>
      </c>
      <c r="O12" s="406"/>
    </row>
    <row r="13" spans="1:16" ht="20.100000000000001" customHeight="1" x14ac:dyDescent="0.3">
      <c r="A13" s="2369" t="s">
        <v>859</v>
      </c>
      <c r="B13" s="372">
        <v>2000000</v>
      </c>
      <c r="C13" s="372">
        <v>1983600</v>
      </c>
      <c r="D13" s="1052"/>
      <c r="E13" s="396">
        <f>SUM(C13:D13)</f>
        <v>1983600</v>
      </c>
      <c r="F13" s="1740">
        <f>+B13-E13</f>
        <v>16400</v>
      </c>
      <c r="G13" s="2250">
        <f>SUM(H13:I13)</f>
        <v>0</v>
      </c>
      <c r="H13" s="2251">
        <f>+'16.Socio'!K5</f>
        <v>0</v>
      </c>
      <c r="I13" s="2251">
        <f>+'16.Socio'!L5</f>
        <v>0</v>
      </c>
      <c r="J13" s="2252">
        <f t="shared" si="5"/>
        <v>0</v>
      </c>
      <c r="K13" s="2252">
        <f>+H13*100/F13</f>
        <v>0</v>
      </c>
      <c r="L13" s="2253">
        <f t="shared" si="6"/>
        <v>0</v>
      </c>
      <c r="M13" s="2231">
        <f t="shared" si="2"/>
        <v>16400</v>
      </c>
      <c r="O13" s="406"/>
    </row>
    <row r="14" spans="1:16" ht="20.100000000000001" customHeight="1" x14ac:dyDescent="0.3">
      <c r="A14" s="2240" t="s">
        <v>902</v>
      </c>
      <c r="B14" s="2243">
        <f t="shared" ref="B14:I14" si="7">+B15</f>
        <v>3936000</v>
      </c>
      <c r="C14" s="2243">
        <f t="shared" si="7"/>
        <v>0</v>
      </c>
      <c r="D14" s="2243">
        <f t="shared" si="7"/>
        <v>0</v>
      </c>
      <c r="E14" s="2243">
        <f t="shared" si="7"/>
        <v>0</v>
      </c>
      <c r="F14" s="2245">
        <f t="shared" si="7"/>
        <v>3936000</v>
      </c>
      <c r="G14" s="2246">
        <f>+G15</f>
        <v>974000</v>
      </c>
      <c r="H14" s="2247">
        <f t="shared" si="7"/>
        <v>0</v>
      </c>
      <c r="I14" s="2247">
        <f t="shared" si="7"/>
        <v>974000</v>
      </c>
      <c r="J14" s="2248">
        <f>+G14*100/F14</f>
        <v>24.745934959349594</v>
      </c>
      <c r="K14" s="2248">
        <f>+H14*100/F14</f>
        <v>0</v>
      </c>
      <c r="L14" s="2249">
        <f t="shared" si="6"/>
        <v>24.745934959349594</v>
      </c>
      <c r="M14" s="2241">
        <f t="shared" si="2"/>
        <v>2962000</v>
      </c>
      <c r="O14" s="406"/>
    </row>
    <row r="15" spans="1:16" s="673" customFormat="1" ht="17.25" customHeight="1" x14ac:dyDescent="0.5">
      <c r="A15" s="2344" t="s">
        <v>860</v>
      </c>
      <c r="B15" s="2284">
        <f>(492000*6)+984000</f>
        <v>3936000</v>
      </c>
      <c r="C15" s="2284">
        <v>0</v>
      </c>
      <c r="D15" s="2284">
        <v>0</v>
      </c>
      <c r="E15" s="2370">
        <f>+SUM(C15:D15)</f>
        <v>0</v>
      </c>
      <c r="F15" s="2371">
        <f>+B15-E15</f>
        <v>3936000</v>
      </c>
      <c r="G15" s="2372">
        <f>+SUM(H15:I15)</f>
        <v>974000</v>
      </c>
      <c r="H15" s="2284">
        <f>+'4 สรุปตามการจัดสรร 2+3'!E12</f>
        <v>0</v>
      </c>
      <c r="I15" s="2345">
        <f>+'4 สรุปตามการจัดสรร 2+3'!F12</f>
        <v>974000</v>
      </c>
      <c r="J15" s="2285">
        <f>+G15*100/F15</f>
        <v>24.745934959349594</v>
      </c>
      <c r="K15" s="2285">
        <f>+H15*100/F15</f>
        <v>0</v>
      </c>
      <c r="L15" s="2286">
        <f t="shared" si="6"/>
        <v>24.745934959349594</v>
      </c>
      <c r="M15" s="2287">
        <f t="shared" si="2"/>
        <v>2962000</v>
      </c>
      <c r="O15" s="2347"/>
    </row>
    <row r="16" spans="1:16" ht="20.100000000000001" customHeight="1" x14ac:dyDescent="0.3">
      <c r="A16" s="2314" t="s">
        <v>608</v>
      </c>
      <c r="B16" s="2254">
        <f t="shared" ref="B16:I16" si="8">+B17</f>
        <v>13907600</v>
      </c>
      <c r="C16" s="2254">
        <f t="shared" si="8"/>
        <v>11329185</v>
      </c>
      <c r="D16" s="2254">
        <f t="shared" si="8"/>
        <v>120000</v>
      </c>
      <c r="E16" s="2255">
        <f t="shared" si="8"/>
        <v>11449185</v>
      </c>
      <c r="F16" s="2256">
        <f t="shared" si="8"/>
        <v>2458415</v>
      </c>
      <c r="G16" s="2257">
        <f t="shared" si="8"/>
        <v>1260987.3</v>
      </c>
      <c r="H16" s="2258">
        <f t="shared" si="8"/>
        <v>355360</v>
      </c>
      <c r="I16" s="2258">
        <f t="shared" si="8"/>
        <v>905627.3</v>
      </c>
      <c r="J16" s="2259">
        <f t="shared" si="5"/>
        <v>51.292694683363059</v>
      </c>
      <c r="K16" s="2259">
        <f>+(H16*100/F16)-0.01</f>
        <v>14.444841839152462</v>
      </c>
      <c r="L16" s="2260">
        <f t="shared" ref="L16:L22" si="9">+I16*100/F16</f>
        <v>36.837852844210602</v>
      </c>
      <c r="M16" s="2230">
        <f t="shared" si="2"/>
        <v>1197427.7</v>
      </c>
      <c r="O16" s="406"/>
    </row>
    <row r="17" spans="1:15" ht="20.100000000000001" customHeight="1" x14ac:dyDescent="0.3">
      <c r="A17" s="2240" t="s">
        <v>861</v>
      </c>
      <c r="B17" s="2243">
        <f t="shared" ref="B17:I17" si="10">+B18+B28</f>
        <v>13907600</v>
      </c>
      <c r="C17" s="2243">
        <f t="shared" si="10"/>
        <v>11329185</v>
      </c>
      <c r="D17" s="2243">
        <f t="shared" si="10"/>
        <v>120000</v>
      </c>
      <c r="E17" s="2244">
        <f t="shared" si="10"/>
        <v>11449185</v>
      </c>
      <c r="F17" s="2261">
        <f t="shared" si="10"/>
        <v>2458415</v>
      </c>
      <c r="G17" s="2246">
        <f t="shared" si="10"/>
        <v>1260987.3</v>
      </c>
      <c r="H17" s="2247">
        <f t="shared" si="10"/>
        <v>355360</v>
      </c>
      <c r="I17" s="2247">
        <f t="shared" si="10"/>
        <v>905627.3</v>
      </c>
      <c r="J17" s="2248">
        <f t="shared" si="5"/>
        <v>51.292694683363059</v>
      </c>
      <c r="K17" s="2248">
        <f>+(H17*100/F17)-0.01</f>
        <v>14.444841839152462</v>
      </c>
      <c r="L17" s="2249">
        <f t="shared" si="9"/>
        <v>36.837852844210602</v>
      </c>
      <c r="M17" s="2241">
        <f t="shared" si="2"/>
        <v>1197427.7</v>
      </c>
      <c r="O17" s="406"/>
    </row>
    <row r="18" spans="1:15" s="673" customFormat="1" ht="22.5" customHeight="1" x14ac:dyDescent="0.5">
      <c r="A18" s="2344" t="s">
        <v>862</v>
      </c>
      <c r="B18" s="2284">
        <f>+B19+B22+B23+B26+B27</f>
        <v>12717300</v>
      </c>
      <c r="C18" s="2284">
        <f>+C19+C22+C23+C26+C27</f>
        <v>11329185</v>
      </c>
      <c r="D18" s="2284">
        <f>+D19+D22+D23+D26+D27</f>
        <v>120000</v>
      </c>
      <c r="E18" s="2287">
        <f>+E19+E22+E23+E26+E27</f>
        <v>11449185</v>
      </c>
      <c r="F18" s="2345">
        <f>+B18-E18</f>
        <v>1268115</v>
      </c>
      <c r="G18" s="2346">
        <f>+SUM(H18:I18)</f>
        <v>1212767.3</v>
      </c>
      <c r="H18" s="2345">
        <f>+H19+H22+H23+H26+H27</f>
        <v>355360</v>
      </c>
      <c r="I18" s="2345">
        <f>+I19+I22+I23+I26+I27</f>
        <v>857407.3</v>
      </c>
      <c r="J18" s="2285">
        <f t="shared" si="5"/>
        <v>95.635435272037626</v>
      </c>
      <c r="K18" s="2285">
        <f>+H18*100/F18</f>
        <v>28.022695102573504</v>
      </c>
      <c r="L18" s="2286">
        <f>+(I18*100/F18)-0.01</f>
        <v>67.602740169464127</v>
      </c>
      <c r="M18" s="2287">
        <f t="shared" si="2"/>
        <v>55347.699999999953</v>
      </c>
      <c r="O18" s="2347"/>
    </row>
    <row r="19" spans="1:15" s="2299" customFormat="1" ht="20.100000000000001" customHeight="1" x14ac:dyDescent="0.3">
      <c r="A19" s="2315" t="s">
        <v>842</v>
      </c>
      <c r="B19" s="2289">
        <v>1824300</v>
      </c>
      <c r="C19" s="2289">
        <v>1486590</v>
      </c>
      <c r="D19" s="2290"/>
      <c r="E19" s="2291">
        <f>SUM(C19:D19)</f>
        <v>1486590</v>
      </c>
      <c r="F19" s="2292">
        <f>B19-E19</f>
        <v>337710</v>
      </c>
      <c r="G19" s="2293">
        <f>SUM(H19:I19)</f>
        <v>193643.3</v>
      </c>
      <c r="H19" s="2294">
        <f>+'4.ต้นทุน'!K5</f>
        <v>47980</v>
      </c>
      <c r="I19" s="2295">
        <f>+'4.ต้นทุน'!L5</f>
        <v>145663.29999999999</v>
      </c>
      <c r="J19" s="2296">
        <f t="shared" si="5"/>
        <v>57.340114299250835</v>
      </c>
      <c r="K19" s="2296">
        <f>+H19*100/F19</f>
        <v>14.207456101388766</v>
      </c>
      <c r="L19" s="2297">
        <f>+I19*100/F19</f>
        <v>43.132658197862064</v>
      </c>
      <c r="M19" s="2298">
        <f t="shared" si="2"/>
        <v>144066.70000000001</v>
      </c>
    </row>
    <row r="20" spans="1:15" ht="20.100000000000001" customHeight="1" x14ac:dyDescent="0.3">
      <c r="A20" s="2288" t="s">
        <v>3</v>
      </c>
      <c r="B20" s="372"/>
      <c r="C20" s="372"/>
      <c r="D20" s="399"/>
      <c r="E20" s="396"/>
      <c r="F20" s="2232">
        <f>275510-30-166000</f>
        <v>109480</v>
      </c>
      <c r="G20" s="1741">
        <f>+SUM(H20:I20)</f>
        <v>12040</v>
      </c>
      <c r="H20" s="485">
        <f>+'4.ต้นทุน'!F39</f>
        <v>0</v>
      </c>
      <c r="I20" s="400">
        <f>+'4.ต้นทุน'!G39</f>
        <v>12040</v>
      </c>
      <c r="J20" s="388">
        <f>+G20*100/F20</f>
        <v>10.997442455242966</v>
      </c>
      <c r="K20" s="2300">
        <f>+H20*100/F20</f>
        <v>0</v>
      </c>
      <c r="L20" s="2301">
        <f t="shared" si="9"/>
        <v>10.997442455242966</v>
      </c>
      <c r="M20" s="2231">
        <f t="shared" si="2"/>
        <v>97440</v>
      </c>
    </row>
    <row r="21" spans="1:15" ht="20.100000000000001" customHeight="1" x14ac:dyDescent="0.3">
      <c r="A21" s="2288" t="s">
        <v>20</v>
      </c>
      <c r="B21" s="372"/>
      <c r="C21" s="372"/>
      <c r="D21" s="399"/>
      <c r="E21" s="396"/>
      <c r="F21" s="2232">
        <f>62200+30+166000</f>
        <v>228230</v>
      </c>
      <c r="G21" s="1741">
        <f>+SUM(H21:I21)</f>
        <v>181603.3</v>
      </c>
      <c r="H21" s="485">
        <f>+'4.ต้นทุน'!F113</f>
        <v>47980</v>
      </c>
      <c r="I21" s="400">
        <f>+'4.ต้นทุน'!G113</f>
        <v>133623.29999999999</v>
      </c>
      <c r="J21" s="2300">
        <f>+G21*100/F21</f>
        <v>79.570301888445869</v>
      </c>
      <c r="K21" s="2300">
        <f>+H21*100/F21</f>
        <v>21.022652587302282</v>
      </c>
      <c r="L21" s="2301">
        <f t="shared" si="9"/>
        <v>58.547649301143572</v>
      </c>
      <c r="M21" s="2231">
        <f t="shared" si="2"/>
        <v>46626.700000000012</v>
      </c>
    </row>
    <row r="22" spans="1:15" s="2299" customFormat="1" ht="20.100000000000001" customHeight="1" x14ac:dyDescent="0.3">
      <c r="A22" s="2315" t="s">
        <v>843</v>
      </c>
      <c r="B22" s="2289">
        <v>1464400</v>
      </c>
      <c r="C22" s="2289">
        <f>(1082360+21000)-17935</f>
        <v>1085425</v>
      </c>
      <c r="D22" s="2290">
        <v>0</v>
      </c>
      <c r="E22" s="2291">
        <f>SUM(C22:D22)</f>
        <v>1085425</v>
      </c>
      <c r="F22" s="2302">
        <f>B22-E22</f>
        <v>378975</v>
      </c>
      <c r="G22" s="2293">
        <f>SUM(H22:I22)</f>
        <v>341986</v>
      </c>
      <c r="H22" s="2294">
        <f>+'5.Crop Cutiing'!K5</f>
        <v>30600</v>
      </c>
      <c r="I22" s="2295">
        <f>+'5.Crop Cutiing'!L5</f>
        <v>311386</v>
      </c>
      <c r="J22" s="2296">
        <f t="shared" si="5"/>
        <v>90.239725575565672</v>
      </c>
      <c r="K22" s="2296">
        <f t="shared" ref="K22:K27" si="11">+H22*100/F22</f>
        <v>8.0744112408470219</v>
      </c>
      <c r="L22" s="2297">
        <f t="shared" si="9"/>
        <v>82.165314334718644</v>
      </c>
      <c r="M22" s="2231">
        <f t="shared" si="2"/>
        <v>36989</v>
      </c>
    </row>
    <row r="23" spans="1:15" s="2309" customFormat="1" ht="21" customHeight="1" x14ac:dyDescent="0.5">
      <c r="A23" s="2316" t="s">
        <v>844</v>
      </c>
      <c r="B23" s="2351">
        <v>3746100</v>
      </c>
      <c r="C23" s="2351">
        <f>3597120-31474-21226-65144-27816-16100</f>
        <v>3435360</v>
      </c>
      <c r="D23" s="2304"/>
      <c r="E23" s="2305">
        <f>SUM(C23:D23)</f>
        <v>3435360</v>
      </c>
      <c r="F23" s="2306">
        <f>B23-E23</f>
        <v>310740</v>
      </c>
      <c r="G23" s="2307">
        <f>SUM(H23:I23)</f>
        <v>361246</v>
      </c>
      <c r="H23" s="2303">
        <f>+SUM(H24:H25)</f>
        <v>69862</v>
      </c>
      <c r="I23" s="2303">
        <f>+SUM(I24:I25)</f>
        <v>291384</v>
      </c>
      <c r="J23" s="2348">
        <f t="shared" ref="J23:J30" si="12">+G23*100/F23</f>
        <v>116.25345948381283</v>
      </c>
      <c r="K23" s="2348">
        <f>+H23*100/F23</f>
        <v>22.482461221600051</v>
      </c>
      <c r="L23" s="2349">
        <f>+(I23*100/F23)-0.01</f>
        <v>93.76099826221278</v>
      </c>
      <c r="M23" s="2350">
        <f t="shared" si="2"/>
        <v>-50506</v>
      </c>
    </row>
    <row r="24" spans="1:15" ht="20.100000000000001" customHeight="1" x14ac:dyDescent="0.3">
      <c r="A24" s="2288" t="s">
        <v>1</v>
      </c>
      <c r="B24" s="372"/>
      <c r="C24" s="372"/>
      <c r="D24" s="399"/>
      <c r="E24" s="396"/>
      <c r="F24" s="2232">
        <v>50000</v>
      </c>
      <c r="G24" s="1741">
        <f>+SUM(H24:I24)</f>
        <v>108780</v>
      </c>
      <c r="H24" s="485">
        <f>+'6.จัดทำข้อมูลปริมาณการผลิตพืชเศ'!C39</f>
        <v>0</v>
      </c>
      <c r="I24" s="400">
        <f>+'6.จัดทำข้อมูลปริมาณการผลิตพืชเศ'!D39</f>
        <v>108780</v>
      </c>
      <c r="J24" s="388">
        <f t="shared" si="12"/>
        <v>217.56</v>
      </c>
      <c r="K24" s="388">
        <f>+H24*100/F24</f>
        <v>0</v>
      </c>
      <c r="L24" s="1809">
        <f>+I24*100/F24</f>
        <v>217.56</v>
      </c>
      <c r="M24" s="2231">
        <f t="shared" si="2"/>
        <v>-58780</v>
      </c>
    </row>
    <row r="25" spans="1:15" ht="20.100000000000001" customHeight="1" x14ac:dyDescent="0.3">
      <c r="A25" s="2288" t="s">
        <v>2</v>
      </c>
      <c r="B25" s="372"/>
      <c r="C25" s="372"/>
      <c r="D25" s="399"/>
      <c r="E25" s="396"/>
      <c r="F25" s="2232">
        <f>+F23-F24</f>
        <v>260740</v>
      </c>
      <c r="G25" s="1741">
        <f>+SUM(H25:I25)</f>
        <v>252466</v>
      </c>
      <c r="H25" s="485">
        <f>+'6.จัดทำข้อมูลปริมาณการผลิตพืชเศ'!F5</f>
        <v>69862</v>
      </c>
      <c r="I25" s="400">
        <f>+'6.จัดทำข้อมูลปริมาณการผลิตพืชเศ'!G5</f>
        <v>182604</v>
      </c>
      <c r="J25" s="393">
        <f t="shared" si="12"/>
        <v>96.826723939556643</v>
      </c>
      <c r="K25" s="388">
        <f>+H25*100/F25</f>
        <v>26.793740891309351</v>
      </c>
      <c r="L25" s="2363">
        <f>+(I25*100/F25)-0.01</f>
        <v>70.022983048247298</v>
      </c>
      <c r="M25" s="2231">
        <f t="shared" si="2"/>
        <v>8274</v>
      </c>
    </row>
    <row r="26" spans="1:15" s="2309" customFormat="1" ht="20.100000000000001" customHeight="1" x14ac:dyDescent="0.3">
      <c r="A26" s="2316" t="s">
        <v>845</v>
      </c>
      <c r="B26" s="2303">
        <v>2304100</v>
      </c>
      <c r="C26" s="2303">
        <v>2005490</v>
      </c>
      <c r="D26" s="2304">
        <v>120000</v>
      </c>
      <c r="E26" s="2305">
        <f>SUM(C26:D26)</f>
        <v>2125490</v>
      </c>
      <c r="F26" s="2306">
        <f t="shared" ref="F26:F31" si="13">B26-E26</f>
        <v>178610</v>
      </c>
      <c r="G26" s="2307">
        <f>SUM(H26:I26)</f>
        <v>315892</v>
      </c>
      <c r="H26" s="2308">
        <f>+'7.ประมาณการและติดตามภาวะ'!K5</f>
        <v>206918</v>
      </c>
      <c r="I26" s="2303">
        <f>+'7.ประมาณการและติดตามภาวะ'!L5</f>
        <v>108974</v>
      </c>
      <c r="J26" s="2296">
        <f t="shared" si="12"/>
        <v>176.86131795532165</v>
      </c>
      <c r="K26" s="2296">
        <f t="shared" si="11"/>
        <v>115.84905660377359</v>
      </c>
      <c r="L26" s="2297">
        <f>+I26*100/F26</f>
        <v>61.012261351548062</v>
      </c>
      <c r="M26" s="2231">
        <f t="shared" si="2"/>
        <v>-137282</v>
      </c>
    </row>
    <row r="27" spans="1:15" s="2309" customFormat="1" ht="20.25" customHeight="1" x14ac:dyDescent="0.5">
      <c r="A27" s="2317" t="s">
        <v>846</v>
      </c>
      <c r="B27" s="2303">
        <v>3378400</v>
      </c>
      <c r="C27" s="2303">
        <v>3316320</v>
      </c>
      <c r="D27" s="2304"/>
      <c r="E27" s="2305">
        <f>SUM(C27:D27)</f>
        <v>3316320</v>
      </c>
      <c r="F27" s="2306">
        <f t="shared" si="13"/>
        <v>62080</v>
      </c>
      <c r="G27" s="2307">
        <f>SUM(H27:I27)</f>
        <v>0</v>
      </c>
      <c r="H27" s="2308">
        <f>+'8.รายงานสถานการณ์โดย ศกอ.'!K5</f>
        <v>0</v>
      </c>
      <c r="I27" s="2303">
        <f>'[18]สรุป สปข.'!$O$4</f>
        <v>0</v>
      </c>
      <c r="J27" s="2348">
        <f t="shared" si="12"/>
        <v>0</v>
      </c>
      <c r="K27" s="2348">
        <f t="shared" si="11"/>
        <v>0</v>
      </c>
      <c r="L27" s="2349">
        <f>+I27*100/F27</f>
        <v>0</v>
      </c>
      <c r="M27" s="2350">
        <f t="shared" si="2"/>
        <v>62080</v>
      </c>
    </row>
    <row r="28" spans="1:15" s="2309" customFormat="1" ht="20.100000000000001" customHeight="1" x14ac:dyDescent="0.5">
      <c r="A28" s="2352" t="s">
        <v>847</v>
      </c>
      <c r="B28" s="2353">
        <f>+SUM(B29:B30)</f>
        <v>1190300</v>
      </c>
      <c r="C28" s="2353"/>
      <c r="D28" s="2354"/>
      <c r="E28" s="2355">
        <f>SUM(C28:D28)</f>
        <v>0</v>
      </c>
      <c r="F28" s="2356">
        <f t="shared" si="13"/>
        <v>1190300</v>
      </c>
      <c r="G28" s="2357">
        <f>+SUM(G29:G30)</f>
        <v>48220</v>
      </c>
      <c r="H28" s="2358">
        <f>+SUM(H29:H30)</f>
        <v>0</v>
      </c>
      <c r="I28" s="2359">
        <f>+SUM(I29:I30)</f>
        <v>48220</v>
      </c>
      <c r="J28" s="2360">
        <f t="shared" si="12"/>
        <v>4.0510795597748466</v>
      </c>
      <c r="K28" s="2360">
        <f>+(H28*100/F28)-0.01</f>
        <v>-0.01</v>
      </c>
      <c r="L28" s="2361">
        <f>+I28*100/F28</f>
        <v>4.0510795597748466</v>
      </c>
      <c r="M28" s="2362">
        <f t="shared" si="2"/>
        <v>1142080</v>
      </c>
    </row>
    <row r="29" spans="1:15" ht="20.100000000000001" customHeight="1" x14ac:dyDescent="0.3">
      <c r="A29" s="1646" t="s">
        <v>848</v>
      </c>
      <c r="B29" s="372">
        <v>806800</v>
      </c>
      <c r="C29" s="372">
        <v>0</v>
      </c>
      <c r="D29" s="399"/>
      <c r="E29" s="396">
        <f>SUM(C29:D29)</f>
        <v>0</v>
      </c>
      <c r="F29" s="2232">
        <f t="shared" si="13"/>
        <v>806800</v>
      </c>
      <c r="G29" s="1741">
        <f>SUM(H29:I29)</f>
        <v>19650</v>
      </c>
      <c r="H29" s="485">
        <f>+' 1.ประยุกต์ใช้เทคโนฯ'!K5</f>
        <v>0</v>
      </c>
      <c r="I29" s="400">
        <f>+' 1.ประยุกต์ใช้เทคโนฯ'!L5</f>
        <v>19650</v>
      </c>
      <c r="J29" s="393">
        <f t="shared" si="12"/>
        <v>2.4355478433316806</v>
      </c>
      <c r="K29" s="393">
        <f>+H29*100/F29</f>
        <v>0</v>
      </c>
      <c r="L29" s="1809">
        <f>+I29*100/F29</f>
        <v>2.4355478433316806</v>
      </c>
      <c r="M29" s="2231">
        <f t="shared" si="2"/>
        <v>787150</v>
      </c>
    </row>
    <row r="30" spans="1:15" ht="20.100000000000001" customHeight="1" thickBot="1" x14ac:dyDescent="0.35">
      <c r="A30" s="1646" t="s">
        <v>849</v>
      </c>
      <c r="B30" s="372">
        <v>383500</v>
      </c>
      <c r="C30" s="372">
        <v>0</v>
      </c>
      <c r="D30" s="399"/>
      <c r="E30" s="396">
        <f>SUM(C30:D30)</f>
        <v>0</v>
      </c>
      <c r="F30" s="2232">
        <f t="shared" si="13"/>
        <v>383500</v>
      </c>
      <c r="G30" s="1741">
        <f>SUM(H30:I30)</f>
        <v>28570</v>
      </c>
      <c r="H30" s="485">
        <f>+'2.บูรณาการฯ'!K5</f>
        <v>0</v>
      </c>
      <c r="I30" s="400">
        <f>+'2.บูรณาการฯ'!L5</f>
        <v>28570</v>
      </c>
      <c r="J30" s="393">
        <f t="shared" si="12"/>
        <v>7.4498044328552799</v>
      </c>
      <c r="K30" s="393">
        <f>+H30*100/F30</f>
        <v>0</v>
      </c>
      <c r="L30" s="1809">
        <f>+I30*100/F30</f>
        <v>7.4498044328552799</v>
      </c>
      <c r="M30" s="2231">
        <f t="shared" si="2"/>
        <v>354930</v>
      </c>
    </row>
    <row r="31" spans="1:15" s="385" customFormat="1" ht="21.75" hidden="1" customHeight="1" x14ac:dyDescent="0.3">
      <c r="A31" s="1647" t="s">
        <v>255</v>
      </c>
      <c r="B31" s="1001"/>
      <c r="C31" s="1001">
        <v>0</v>
      </c>
      <c r="D31" s="1001">
        <f>+D33+D34+D36+D39</f>
        <v>0</v>
      </c>
      <c r="E31" s="1811">
        <f>+E33+E34+E36+E39</f>
        <v>0</v>
      </c>
      <c r="F31" s="1801">
        <f t="shared" si="13"/>
        <v>0</v>
      </c>
      <c r="G31" s="2262">
        <f>SUM(H31:I31)</f>
        <v>19650</v>
      </c>
      <c r="H31" s="2263">
        <f>+H33+H39</f>
        <v>0</v>
      </c>
      <c r="I31" s="2264">
        <f>+I33+I39</f>
        <v>19650</v>
      </c>
      <c r="J31" s="2265">
        <f>G31*100/B8</f>
        <v>0.11778951343639665</v>
      </c>
      <c r="K31" s="2265" t="e">
        <f>H31*100/B31</f>
        <v>#DIV/0!</v>
      </c>
      <c r="L31" s="2266" t="e">
        <f>I31*100/F31</f>
        <v>#DIV/0!</v>
      </c>
      <c r="M31" s="1811">
        <f t="shared" ref="M31:M40" si="14">B31-E31-G31</f>
        <v>-19650</v>
      </c>
    </row>
    <row r="32" spans="1:15" s="385" customFormat="1" hidden="1" x14ac:dyDescent="0.3">
      <c r="A32" s="3459" t="s">
        <v>607</v>
      </c>
      <c r="B32" s="3460"/>
      <c r="C32" s="1001"/>
      <c r="D32" s="2267"/>
      <c r="E32" s="1811"/>
      <c r="F32" s="1801"/>
      <c r="G32" s="2262"/>
      <c r="H32" s="2263"/>
      <c r="I32" s="2264"/>
      <c r="J32" s="2265"/>
      <c r="K32" s="2265"/>
      <c r="L32" s="2266"/>
      <c r="M32" s="1811">
        <f t="shared" si="14"/>
        <v>0</v>
      </c>
    </row>
    <row r="33" spans="1:17" ht="34.5" hidden="1" x14ac:dyDescent="0.3">
      <c r="A33" s="1648" t="s">
        <v>606</v>
      </c>
      <c r="B33" s="1605"/>
      <c r="C33" s="1605">
        <v>0</v>
      </c>
      <c r="D33" s="2268">
        <v>0</v>
      </c>
      <c r="E33" s="429">
        <v>0</v>
      </c>
      <c r="F33" s="430">
        <f>B33-E33</f>
        <v>0</v>
      </c>
      <c r="G33" s="2269">
        <f>SUM(H33:I33)</f>
        <v>0</v>
      </c>
      <c r="H33" s="2270">
        <v>0</v>
      </c>
      <c r="I33" s="2271">
        <v>0</v>
      </c>
      <c r="J33" s="432">
        <f>G33*100/B8</f>
        <v>0</v>
      </c>
      <c r="K33" s="432" t="e">
        <f t="shared" ref="K33:K40" si="15">H33*100/B33</f>
        <v>#DIV/0!</v>
      </c>
      <c r="L33" s="2272" t="e">
        <f>I33*100/F33</f>
        <v>#DIV/0!</v>
      </c>
      <c r="M33" s="1812">
        <f t="shared" si="14"/>
        <v>0</v>
      </c>
    </row>
    <row r="34" spans="1:17" ht="32.25" hidden="1" x14ac:dyDescent="0.3">
      <c r="A34" s="1649" t="s">
        <v>610</v>
      </c>
      <c r="B34" s="1605"/>
      <c r="C34" s="1605">
        <v>0</v>
      </c>
      <c r="D34" s="428"/>
      <c r="E34" s="429">
        <f>SUM(C34:D34)</f>
        <v>0</v>
      </c>
      <c r="F34" s="430">
        <f>B34-E34</f>
        <v>0</v>
      </c>
      <c r="G34" s="1739">
        <f t="shared" ref="G34:G39" si="16">SUM(H34:I34)</f>
        <v>0</v>
      </c>
      <c r="H34" s="434">
        <f>+'17.ซื้อคอมทดแทน'!F97</f>
        <v>0</v>
      </c>
      <c r="I34" s="431">
        <v>0</v>
      </c>
      <c r="J34" s="432">
        <f>G34*100/B14</f>
        <v>0</v>
      </c>
      <c r="K34" s="432" t="e">
        <f t="shared" si="15"/>
        <v>#DIV/0!</v>
      </c>
      <c r="L34" s="2272" t="e">
        <f>I34*100/F34</f>
        <v>#DIV/0!</v>
      </c>
      <c r="M34" s="1812">
        <f t="shared" si="14"/>
        <v>0</v>
      </c>
    </row>
    <row r="35" spans="1:17" s="385" customFormat="1" hidden="1" x14ac:dyDescent="0.3">
      <c r="A35" s="3461" t="s">
        <v>608</v>
      </c>
      <c r="B35" s="3462"/>
      <c r="C35" s="1605"/>
      <c r="D35" s="428"/>
      <c r="E35" s="429"/>
      <c r="F35" s="430"/>
      <c r="G35" s="1739"/>
      <c r="H35" s="434"/>
      <c r="I35" s="431"/>
      <c r="J35" s="432" t="e">
        <f>G35*100/#REF!</f>
        <v>#REF!</v>
      </c>
      <c r="K35" s="432" t="e">
        <f t="shared" si="15"/>
        <v>#DIV/0!</v>
      </c>
      <c r="L35" s="2272"/>
      <c r="M35" s="1812">
        <f t="shared" si="14"/>
        <v>0</v>
      </c>
    </row>
    <row r="36" spans="1:17" ht="34.5" hidden="1" customHeight="1" x14ac:dyDescent="0.3">
      <c r="A36" s="1648" t="s">
        <v>611</v>
      </c>
      <c r="B36" s="1605"/>
      <c r="C36" s="1605">
        <v>0</v>
      </c>
      <c r="D36" s="2268">
        <v>0</v>
      </c>
      <c r="E36" s="429">
        <v>0</v>
      </c>
      <c r="F36" s="430">
        <f>B36-E36</f>
        <v>0</v>
      </c>
      <c r="G36" s="2269" t="e">
        <f t="shared" si="16"/>
        <v>#REF!</v>
      </c>
      <c r="H36" s="2270" t="e">
        <f>SUM(H37:H38)</f>
        <v>#REF!</v>
      </c>
      <c r="I36" s="2271" t="e">
        <f>SUM(I37:I38)</f>
        <v>#REF!</v>
      </c>
      <c r="J36" s="432" t="e">
        <f>G36*100/B18</f>
        <v>#REF!</v>
      </c>
      <c r="K36" s="432" t="e">
        <f t="shared" si="15"/>
        <v>#REF!</v>
      </c>
      <c r="L36" s="2272" t="e">
        <f>I36*100/F36</f>
        <v>#REF!</v>
      </c>
      <c r="M36" s="1812" t="e">
        <f t="shared" si="14"/>
        <v>#REF!</v>
      </c>
    </row>
    <row r="37" spans="1:17" ht="18.75" hidden="1" customHeight="1" x14ac:dyDescent="0.3">
      <c r="A37" s="1651" t="s">
        <v>598</v>
      </c>
      <c r="B37" s="427"/>
      <c r="C37" s="1605">
        <v>0</v>
      </c>
      <c r="D37" s="428">
        <v>0</v>
      </c>
      <c r="E37" s="1738">
        <v>0</v>
      </c>
      <c r="F37" s="430">
        <f>B37-E37</f>
        <v>0</v>
      </c>
      <c r="G37" s="1739" t="e">
        <f t="shared" si="16"/>
        <v>#REF!</v>
      </c>
      <c r="H37" s="434" t="e">
        <f>+#REF!</f>
        <v>#REF!</v>
      </c>
      <c r="I37" s="431" t="e">
        <f>+#REF!</f>
        <v>#REF!</v>
      </c>
      <c r="J37" s="432" t="e">
        <f>G37*100/B22</f>
        <v>#REF!</v>
      </c>
      <c r="K37" s="432" t="e">
        <f t="shared" si="15"/>
        <v>#REF!</v>
      </c>
      <c r="L37" s="1810" t="e">
        <f>I37*100/F37</f>
        <v>#REF!</v>
      </c>
      <c r="M37" s="1812" t="e">
        <f t="shared" si="14"/>
        <v>#REF!</v>
      </c>
    </row>
    <row r="38" spans="1:17" s="385" customFormat="1" hidden="1" x14ac:dyDescent="0.3">
      <c r="A38" s="1649" t="s">
        <v>673</v>
      </c>
      <c r="B38" s="1605"/>
      <c r="C38" s="1605">
        <v>0</v>
      </c>
      <c r="D38" s="428">
        <v>0</v>
      </c>
      <c r="E38" s="1738">
        <v>0</v>
      </c>
      <c r="F38" s="430">
        <f>B38-E38</f>
        <v>0</v>
      </c>
      <c r="G38" s="1739" t="e">
        <f t="shared" si="16"/>
        <v>#REF!</v>
      </c>
      <c r="H38" s="434" t="e">
        <f>+#REF!</f>
        <v>#REF!</v>
      </c>
      <c r="I38" s="431" t="e">
        <f>+#REF!</f>
        <v>#REF!</v>
      </c>
      <c r="J38" s="432" t="e">
        <f>G38*100/B23</f>
        <v>#REF!</v>
      </c>
      <c r="K38" s="432" t="e">
        <f t="shared" si="15"/>
        <v>#REF!</v>
      </c>
      <c r="L38" s="1810" t="e">
        <f>I38*100/F38</f>
        <v>#REF!</v>
      </c>
      <c r="M38" s="1812" t="e">
        <f t="shared" si="14"/>
        <v>#REF!</v>
      </c>
    </row>
    <row r="39" spans="1:17" ht="18.75" hidden="1" customHeight="1" x14ac:dyDescent="0.3">
      <c r="A39" s="1650" t="s">
        <v>609</v>
      </c>
      <c r="B39" s="1605"/>
      <c r="C39" s="1605">
        <v>0</v>
      </c>
      <c r="D39" s="2268">
        <v>0</v>
      </c>
      <c r="E39" s="429">
        <v>0</v>
      </c>
      <c r="F39" s="430">
        <f>B39-E39</f>
        <v>0</v>
      </c>
      <c r="G39" s="2269">
        <f t="shared" si="16"/>
        <v>19650</v>
      </c>
      <c r="H39" s="2270">
        <f>+' 1.ประยุกต์ใช้เทคโนฯ'!C76</f>
        <v>0</v>
      </c>
      <c r="I39" s="2271">
        <f>+' 1.ประยุกต์ใช้เทคโนฯ'!L5</f>
        <v>19650</v>
      </c>
      <c r="J39" s="432" t="e">
        <f>G39*100/#REF!</f>
        <v>#REF!</v>
      </c>
      <c r="K39" s="432" t="e">
        <f t="shared" si="15"/>
        <v>#DIV/0!</v>
      </c>
      <c r="L39" s="2272" t="e">
        <f>I39*100/F39</f>
        <v>#DIV/0!</v>
      </c>
      <c r="M39" s="1812">
        <f t="shared" si="14"/>
        <v>-19650</v>
      </c>
    </row>
    <row r="40" spans="1:17" s="449" customFormat="1" ht="28.5" hidden="1" customHeight="1" x14ac:dyDescent="0.3">
      <c r="A40" s="1651"/>
      <c r="B40" s="427"/>
      <c r="C40" s="1605"/>
      <c r="D40" s="428"/>
      <c r="E40" s="429"/>
      <c r="F40" s="1802"/>
      <c r="G40" s="1739"/>
      <c r="H40" s="434"/>
      <c r="I40" s="431"/>
      <c r="J40" s="432"/>
      <c r="K40" s="432" t="e">
        <f t="shared" si="15"/>
        <v>#DIV/0!</v>
      </c>
      <c r="L40" s="2272"/>
      <c r="M40" s="1812">
        <f t="shared" si="14"/>
        <v>0</v>
      </c>
    </row>
    <row r="41" spans="1:17" s="449" customFormat="1" ht="19.5" customHeight="1" thickTop="1" thickBot="1" x14ac:dyDescent="0.35">
      <c r="A41" s="2233" t="s">
        <v>28</v>
      </c>
      <c r="B41" s="2234">
        <f t="shared" ref="B41:I41" si="17">+B16+B7</f>
        <v>34525900</v>
      </c>
      <c r="C41" s="2234">
        <f t="shared" si="17"/>
        <v>17026905</v>
      </c>
      <c r="D41" s="2234">
        <f t="shared" si="17"/>
        <v>1206500</v>
      </c>
      <c r="E41" s="2235">
        <f t="shared" si="17"/>
        <v>18233405</v>
      </c>
      <c r="F41" s="2236">
        <f t="shared" si="17"/>
        <v>16292495</v>
      </c>
      <c r="G41" s="2364">
        <f t="shared" si="17"/>
        <v>1261372.3</v>
      </c>
      <c r="H41" s="2234">
        <f t="shared" si="17"/>
        <v>355360</v>
      </c>
      <c r="I41" s="2365">
        <f t="shared" si="17"/>
        <v>906012.3</v>
      </c>
      <c r="J41" s="2237">
        <f>+G41*100/F41</f>
        <v>7.7420450336182398</v>
      </c>
      <c r="K41" s="2237">
        <f>+H41*100/F41</f>
        <v>2.1811269544658445</v>
      </c>
      <c r="L41" s="2238">
        <f>+(I41*100/F41)-0.01</f>
        <v>5.5509180791523951</v>
      </c>
      <c r="M41" s="2239">
        <f>+F41-G41</f>
        <v>15031122.699999999</v>
      </c>
      <c r="O41" s="792"/>
      <c r="P41" s="792"/>
      <c r="Q41" s="792"/>
    </row>
    <row r="42" spans="1:17" s="449" customFormat="1" ht="19.5" customHeight="1" thickTop="1" x14ac:dyDescent="0.3">
      <c r="A42" s="791"/>
      <c r="B42" s="792"/>
      <c r="C42" s="792"/>
      <c r="D42" s="792"/>
      <c r="E42" s="792"/>
      <c r="F42" s="792"/>
      <c r="G42" s="792"/>
      <c r="H42" s="792"/>
      <c r="I42" s="792"/>
      <c r="J42" s="793"/>
      <c r="K42" s="793"/>
      <c r="L42" s="793"/>
      <c r="M42" s="823"/>
      <c r="O42" s="792"/>
      <c r="P42" s="792"/>
      <c r="Q42" s="792"/>
    </row>
    <row r="43" spans="1:17" s="449" customFormat="1" ht="19.5" customHeight="1" x14ac:dyDescent="0.3">
      <c r="A43" s="791"/>
      <c r="B43" s="792"/>
      <c r="C43" s="792"/>
      <c r="D43" s="792"/>
      <c r="E43" s="792"/>
      <c r="F43" s="792"/>
      <c r="G43" s="792"/>
      <c r="H43" s="792"/>
      <c r="I43" s="792"/>
      <c r="J43" s="793"/>
      <c r="K43" s="793"/>
      <c r="L43" s="793"/>
      <c r="M43" s="823"/>
      <c r="O43" s="792"/>
      <c r="P43" s="792"/>
      <c r="Q43" s="792"/>
    </row>
    <row r="44" spans="1:17" s="449" customFormat="1" ht="19.5" customHeight="1" x14ac:dyDescent="0.3">
      <c r="A44" s="2661"/>
      <c r="B44" s="792" t="s">
        <v>896</v>
      </c>
      <c r="C44" s="792" t="s">
        <v>297</v>
      </c>
      <c r="D44" s="792" t="s">
        <v>16</v>
      </c>
      <c r="E44" s="792" t="s">
        <v>897</v>
      </c>
      <c r="F44" s="792" t="s">
        <v>898</v>
      </c>
      <c r="G44" s="792"/>
      <c r="H44" s="792"/>
      <c r="I44" s="792"/>
      <c r="J44" s="793"/>
      <c r="K44" s="793"/>
      <c r="L44" s="793"/>
      <c r="M44" s="823"/>
      <c r="O44" s="792"/>
      <c r="P44" s="792"/>
      <c r="Q44" s="792"/>
    </row>
    <row r="45" spans="1:17" s="449" customFormat="1" ht="19.5" customHeight="1" x14ac:dyDescent="0.3">
      <c r="A45" s="2661" t="s">
        <v>899</v>
      </c>
      <c r="B45" s="792">
        <v>12524700</v>
      </c>
      <c r="C45" s="792">
        <v>2277800</v>
      </c>
      <c r="D45" s="792">
        <f>+B45-C45</f>
        <v>10246900</v>
      </c>
      <c r="E45" s="792">
        <f>10025300-1708300</f>
        <v>8317000</v>
      </c>
      <c r="F45" s="792">
        <f>+(B45-10025300)-569500</f>
        <v>1929900</v>
      </c>
      <c r="G45" s="792"/>
      <c r="H45" s="792"/>
      <c r="I45" s="792"/>
      <c r="J45" s="793"/>
      <c r="K45" s="793"/>
      <c r="L45" s="793"/>
      <c r="M45" s="823"/>
      <c r="O45" s="792"/>
      <c r="P45" s="792"/>
      <c r="Q45" s="792"/>
    </row>
    <row r="46" spans="1:17" s="449" customFormat="1" ht="19.5" customHeight="1" x14ac:dyDescent="0.3">
      <c r="A46" s="2661" t="s">
        <v>894</v>
      </c>
      <c r="B46" s="792">
        <f>SUM(B47:B51)</f>
        <v>8135700</v>
      </c>
      <c r="C46" s="792"/>
      <c r="D46" s="792"/>
      <c r="E46" s="792">
        <f>SUM(E47:E51)</f>
        <v>4379900</v>
      </c>
      <c r="F46" s="792">
        <f>SUM(F47:F51)</f>
        <v>3755800</v>
      </c>
      <c r="G46" s="792"/>
      <c r="H46" s="792"/>
      <c r="I46" s="792"/>
      <c r="J46" s="793"/>
      <c r="K46" s="793"/>
      <c r="L46" s="793"/>
      <c r="M46" s="823"/>
      <c r="O46" s="792"/>
      <c r="P46" s="792"/>
      <c r="Q46" s="792"/>
    </row>
    <row r="47" spans="1:17" s="673" customFormat="1" ht="19.5" customHeight="1" x14ac:dyDescent="0.3">
      <c r="A47" s="2664" t="s">
        <v>857</v>
      </c>
      <c r="B47" s="2347">
        <f>+B11</f>
        <v>3435400</v>
      </c>
      <c r="C47" s="2347"/>
      <c r="D47" s="2347"/>
      <c r="E47" s="2347">
        <v>378800</v>
      </c>
      <c r="F47" s="2347">
        <f>+B47-E47</f>
        <v>3056600</v>
      </c>
      <c r="G47" s="2347"/>
      <c r="H47" s="2347"/>
      <c r="I47" s="2347"/>
      <c r="J47" s="2668"/>
      <c r="K47" s="2668"/>
      <c r="L47" s="2668"/>
      <c r="M47" s="650"/>
      <c r="O47" s="2347"/>
      <c r="P47" s="2347"/>
      <c r="Q47" s="2347"/>
    </row>
    <row r="48" spans="1:17" s="673" customFormat="1" ht="19.5" customHeight="1" x14ac:dyDescent="0.3">
      <c r="A48" s="2665" t="s">
        <v>858</v>
      </c>
      <c r="B48" s="2347">
        <f>+B12</f>
        <v>1000000</v>
      </c>
      <c r="C48" s="2347"/>
      <c r="D48" s="2347"/>
      <c r="E48" s="2347">
        <v>780000</v>
      </c>
      <c r="F48" s="2347">
        <f>+B48-E48</f>
        <v>220000</v>
      </c>
      <c r="G48" s="2347"/>
      <c r="H48" s="2347"/>
      <c r="I48" s="2347"/>
      <c r="J48" s="2668"/>
      <c r="K48" s="2668"/>
      <c r="L48" s="2668"/>
      <c r="M48" s="650"/>
      <c r="O48" s="2347"/>
      <c r="P48" s="2347"/>
      <c r="Q48" s="2347"/>
    </row>
    <row r="49" spans="1:17" s="673" customFormat="1" ht="19.5" customHeight="1" x14ac:dyDescent="0.3">
      <c r="A49" s="2664" t="s">
        <v>859</v>
      </c>
      <c r="B49" s="2347">
        <f>+B13</f>
        <v>2000000</v>
      </c>
      <c r="C49" s="2347"/>
      <c r="D49" s="2347"/>
      <c r="E49" s="2347">
        <v>2000000</v>
      </c>
      <c r="F49" s="2347">
        <f>+B49-E49</f>
        <v>0</v>
      </c>
      <c r="G49" s="2347"/>
      <c r="H49" s="2347"/>
      <c r="I49" s="2347"/>
      <c r="J49" s="2668"/>
      <c r="K49" s="2668"/>
      <c r="L49" s="2668"/>
      <c r="M49" s="650"/>
      <c r="O49" s="2347"/>
      <c r="P49" s="2347"/>
      <c r="Q49" s="2347"/>
    </row>
    <row r="50" spans="1:17" s="673" customFormat="1" ht="19.5" customHeight="1" x14ac:dyDescent="0.3">
      <c r="A50" s="2664" t="s">
        <v>900</v>
      </c>
      <c r="B50" s="2347">
        <v>1200300</v>
      </c>
      <c r="C50" s="2347"/>
      <c r="D50" s="2347"/>
      <c r="E50" s="2347">
        <v>856100</v>
      </c>
      <c r="F50" s="2347">
        <f>+B50-E50</f>
        <v>344200</v>
      </c>
      <c r="G50" s="2347"/>
      <c r="H50" s="2347"/>
      <c r="I50" s="2347"/>
      <c r="J50" s="2668"/>
      <c r="K50" s="2668"/>
      <c r="L50" s="2668"/>
      <c r="M50" s="650"/>
      <c r="O50" s="2347"/>
      <c r="P50" s="2347"/>
      <c r="Q50" s="2347"/>
    </row>
    <row r="51" spans="1:17" s="673" customFormat="1" ht="19.5" customHeight="1" x14ac:dyDescent="0.3">
      <c r="A51" s="2664" t="s">
        <v>901</v>
      </c>
      <c r="B51" s="2347">
        <v>500000</v>
      </c>
      <c r="C51" s="2347"/>
      <c r="D51" s="2347"/>
      <c r="E51" s="2347">
        <v>365000</v>
      </c>
      <c r="F51" s="2347">
        <f>+B51-E51</f>
        <v>135000</v>
      </c>
      <c r="G51" s="2347"/>
      <c r="H51" s="2347"/>
      <c r="I51" s="2347"/>
      <c r="J51" s="2668"/>
      <c r="K51" s="2668"/>
      <c r="L51" s="2668"/>
      <c r="M51" s="650"/>
      <c r="O51" s="2347"/>
      <c r="P51" s="2347"/>
      <c r="Q51" s="2347"/>
    </row>
    <row r="52" spans="1:17" s="449" customFormat="1" ht="19.5" customHeight="1" x14ac:dyDescent="0.3">
      <c r="A52" s="2661" t="s">
        <v>893</v>
      </c>
      <c r="B52" s="792">
        <f>SUM(B53:B57)</f>
        <v>12717300</v>
      </c>
      <c r="C52" s="792"/>
      <c r="D52" s="792"/>
      <c r="E52" s="792">
        <f>+SUM(E53:E57)</f>
        <v>10466800</v>
      </c>
      <c r="F52" s="792">
        <f>+SUM(F53:F57)</f>
        <v>2250500</v>
      </c>
      <c r="G52" s="792"/>
      <c r="H52" s="792"/>
      <c r="I52" s="792"/>
      <c r="J52" s="793"/>
      <c r="K52" s="793"/>
      <c r="L52" s="793"/>
      <c r="M52" s="823"/>
      <c r="O52" s="792"/>
      <c r="P52" s="792"/>
      <c r="Q52" s="792"/>
    </row>
    <row r="53" spans="1:17" s="673" customFormat="1" ht="19.5" customHeight="1" x14ac:dyDescent="0.3">
      <c r="A53" s="2663" t="s">
        <v>842</v>
      </c>
      <c r="B53" s="2347">
        <f>+B19</f>
        <v>1824300</v>
      </c>
      <c r="C53" s="2347"/>
      <c r="D53" s="2347"/>
      <c r="E53" s="2347">
        <v>993800</v>
      </c>
      <c r="F53" s="2347">
        <f>+B53-E53</f>
        <v>830500</v>
      </c>
      <c r="G53" s="2347"/>
      <c r="H53" s="2347"/>
      <c r="I53" s="2347"/>
      <c r="J53" s="2668"/>
      <c r="K53" s="2668"/>
      <c r="L53" s="2668"/>
      <c r="M53" s="650"/>
      <c r="O53" s="2347"/>
      <c r="P53" s="2347"/>
      <c r="Q53" s="2347"/>
    </row>
    <row r="54" spans="1:17" s="673" customFormat="1" ht="19.5" customHeight="1" x14ac:dyDescent="0.3">
      <c r="A54" s="2663" t="s">
        <v>843</v>
      </c>
      <c r="B54" s="2347">
        <f>+B22</f>
        <v>1464400</v>
      </c>
      <c r="C54" s="2347"/>
      <c r="D54" s="2347"/>
      <c r="E54" s="2347">
        <v>949300</v>
      </c>
      <c r="F54" s="2347">
        <f>+B54-E54</f>
        <v>515100</v>
      </c>
      <c r="G54" s="2347"/>
      <c r="H54" s="2347"/>
      <c r="I54" s="2347"/>
      <c r="J54" s="2668"/>
      <c r="K54" s="2668"/>
      <c r="L54" s="2668"/>
      <c r="M54" s="650"/>
      <c r="O54" s="2347"/>
      <c r="P54" s="2347"/>
      <c r="Q54" s="2347"/>
    </row>
    <row r="55" spans="1:17" s="673" customFormat="1" ht="19.5" customHeight="1" x14ac:dyDescent="0.3">
      <c r="A55" s="2666" t="s">
        <v>844</v>
      </c>
      <c r="B55" s="2347">
        <f>+B23</f>
        <v>3746100</v>
      </c>
      <c r="C55" s="2347"/>
      <c r="D55" s="2347"/>
      <c r="E55" s="2347">
        <v>3611300</v>
      </c>
      <c r="F55" s="2347">
        <f>+B55-E55</f>
        <v>134800</v>
      </c>
      <c r="G55" s="2347"/>
      <c r="H55" s="2347"/>
      <c r="I55" s="2347"/>
      <c r="J55" s="2668"/>
      <c r="K55" s="2668"/>
      <c r="L55" s="2668"/>
      <c r="M55" s="650"/>
      <c r="O55" s="2347"/>
      <c r="P55" s="2347"/>
      <c r="Q55" s="2347"/>
    </row>
    <row r="56" spans="1:17" s="673" customFormat="1" ht="19.5" customHeight="1" x14ac:dyDescent="0.3">
      <c r="A56" s="2666" t="s">
        <v>845</v>
      </c>
      <c r="B56" s="2347">
        <f>+B26</f>
        <v>2304100</v>
      </c>
      <c r="C56" s="2347"/>
      <c r="D56" s="2347"/>
      <c r="E56" s="2347">
        <v>1534000</v>
      </c>
      <c r="F56" s="2347">
        <f>+B56-E56</f>
        <v>770100</v>
      </c>
      <c r="G56" s="2347"/>
      <c r="H56" s="2347"/>
      <c r="I56" s="2347"/>
      <c r="J56" s="2668"/>
      <c r="K56" s="2668"/>
      <c r="L56" s="2668"/>
      <c r="M56" s="650"/>
      <c r="O56" s="2347"/>
      <c r="P56" s="2347"/>
      <c r="Q56" s="2347"/>
    </row>
    <row r="57" spans="1:17" s="673" customFormat="1" ht="19.5" customHeight="1" x14ac:dyDescent="0.3">
      <c r="A57" s="2667" t="s">
        <v>846</v>
      </c>
      <c r="B57" s="2347">
        <f>+B27</f>
        <v>3378400</v>
      </c>
      <c r="C57" s="2347"/>
      <c r="D57" s="2347"/>
      <c r="E57" s="2347">
        <v>3378400</v>
      </c>
      <c r="F57" s="2347">
        <f>+B57-E57</f>
        <v>0</v>
      </c>
      <c r="G57" s="2347"/>
      <c r="H57" s="2347"/>
      <c r="I57" s="2347"/>
      <c r="J57" s="2668"/>
      <c r="K57" s="2668"/>
      <c r="L57" s="2668"/>
      <c r="M57" s="650"/>
      <c r="O57" s="2347"/>
      <c r="P57" s="2347"/>
      <c r="Q57" s="2347"/>
    </row>
    <row r="58" spans="1:17" s="449" customFormat="1" ht="19.5" customHeight="1" x14ac:dyDescent="0.3">
      <c r="A58" s="2662" t="s">
        <v>895</v>
      </c>
      <c r="B58" s="792">
        <f>SUM(B59:B60)</f>
        <v>1190300</v>
      </c>
      <c r="C58" s="792"/>
      <c r="D58" s="792"/>
      <c r="E58" s="792">
        <f>+SUM(E59:E60)</f>
        <v>942400</v>
      </c>
      <c r="F58" s="792">
        <f>+SUM(F59:F60)</f>
        <v>247900</v>
      </c>
      <c r="G58" s="792"/>
      <c r="H58" s="792"/>
      <c r="I58" s="792"/>
      <c r="J58" s="793"/>
      <c r="K58" s="793"/>
      <c r="L58" s="793"/>
      <c r="M58" s="823"/>
      <c r="O58" s="792"/>
      <c r="P58" s="792"/>
      <c r="Q58" s="792"/>
    </row>
    <row r="59" spans="1:17" s="673" customFormat="1" ht="19.5" customHeight="1" x14ac:dyDescent="0.3">
      <c r="A59" s="2663" t="s">
        <v>848</v>
      </c>
      <c r="B59" s="2347">
        <f>+B29</f>
        <v>806800</v>
      </c>
      <c r="C59" s="2347"/>
      <c r="D59" s="2347"/>
      <c r="E59" s="2347">
        <v>558900</v>
      </c>
      <c r="F59" s="2347">
        <f>+B59-E59</f>
        <v>247900</v>
      </c>
      <c r="G59" s="2347"/>
      <c r="H59" s="2347"/>
      <c r="I59" s="2347"/>
      <c r="J59" s="2668"/>
      <c r="K59" s="2668"/>
      <c r="L59" s="2668"/>
      <c r="M59" s="650"/>
      <c r="O59" s="2347"/>
      <c r="P59" s="2347"/>
      <c r="Q59" s="2347"/>
    </row>
    <row r="60" spans="1:17" s="673" customFormat="1" ht="19.5" customHeight="1" x14ac:dyDescent="0.3">
      <c r="A60" s="2663" t="s">
        <v>849</v>
      </c>
      <c r="B60" s="2347">
        <f>+B30</f>
        <v>383500</v>
      </c>
      <c r="C60" s="2347"/>
      <c r="D60" s="2347"/>
      <c r="E60" s="2347">
        <v>383500</v>
      </c>
      <c r="F60" s="2347">
        <f>+B60-E60</f>
        <v>0</v>
      </c>
      <c r="G60" s="2347"/>
      <c r="H60" s="2347"/>
      <c r="I60" s="2347"/>
      <c r="J60" s="2668"/>
      <c r="K60" s="2668"/>
      <c r="L60" s="2668"/>
      <c r="M60" s="650"/>
      <c r="O60" s="2347"/>
      <c r="P60" s="2347"/>
      <c r="Q60" s="2347"/>
    </row>
    <row r="61" spans="1:17" s="673" customFormat="1" ht="19.5" customHeight="1" x14ac:dyDescent="0.3">
      <c r="A61" s="942"/>
      <c r="B61" s="2347"/>
      <c r="C61" s="2347"/>
      <c r="D61" s="2347"/>
      <c r="E61" s="2347"/>
      <c r="F61" s="2347"/>
      <c r="G61" s="2347"/>
      <c r="H61" s="2347"/>
      <c r="I61" s="2347"/>
      <c r="J61" s="2668"/>
      <c r="K61" s="2668"/>
      <c r="L61" s="2668"/>
      <c r="M61" s="650"/>
      <c r="O61" s="2347"/>
      <c r="P61" s="2347"/>
      <c r="Q61" s="2347"/>
    </row>
    <row r="62" spans="1:17" s="449" customFormat="1" ht="19.5" customHeight="1" x14ac:dyDescent="0.3">
      <c r="A62" s="791"/>
      <c r="B62" s="792"/>
      <c r="C62" s="792"/>
      <c r="D62" s="792"/>
      <c r="E62" s="792"/>
      <c r="F62" s="792"/>
      <c r="G62" s="792"/>
      <c r="H62" s="792"/>
      <c r="I62" s="792"/>
      <c r="J62" s="793"/>
      <c r="K62" s="793"/>
      <c r="L62" s="793"/>
      <c r="M62" s="823"/>
      <c r="O62" s="792"/>
      <c r="P62" s="792"/>
      <c r="Q62" s="792"/>
    </row>
    <row r="63" spans="1:17" s="449" customFormat="1" ht="19.5" customHeight="1" x14ac:dyDescent="0.3">
      <c r="A63" s="791"/>
      <c r="B63" s="792"/>
      <c r="C63" s="792"/>
      <c r="D63" s="792"/>
      <c r="E63" s="792"/>
      <c r="F63" s="792"/>
      <c r="G63" s="792"/>
      <c r="H63" s="792"/>
      <c r="I63" s="792"/>
      <c r="J63" s="793"/>
      <c r="K63" s="793"/>
      <c r="L63" s="793"/>
      <c r="M63" s="823"/>
      <c r="O63" s="792"/>
      <c r="P63" s="792"/>
      <c r="Q63" s="792"/>
    </row>
    <row r="64" spans="1:17" s="449" customFormat="1" ht="19.5" customHeight="1" x14ac:dyDescent="0.3">
      <c r="A64" s="791"/>
      <c r="B64" s="792"/>
      <c r="C64" s="792"/>
      <c r="D64" s="792"/>
      <c r="E64" s="792"/>
      <c r="F64" s="792"/>
      <c r="G64" s="792"/>
      <c r="H64" s="792"/>
      <c r="I64" s="792"/>
      <c r="J64" s="793"/>
      <c r="K64" s="793"/>
      <c r="L64" s="793"/>
      <c r="M64" s="823"/>
      <c r="O64" s="792"/>
      <c r="P64" s="792"/>
      <c r="Q64" s="792"/>
    </row>
    <row r="65" spans="1:18" s="449" customFormat="1" ht="19.5" customHeight="1" x14ac:dyDescent="0.3">
      <c r="A65" s="791"/>
      <c r="B65" s="792"/>
      <c r="C65" s="792"/>
      <c r="D65" s="792"/>
      <c r="E65" s="792"/>
      <c r="F65" s="792"/>
      <c r="G65" s="792"/>
      <c r="H65" s="792"/>
      <c r="I65" s="792"/>
      <c r="J65" s="793"/>
      <c r="K65" s="793"/>
      <c r="L65" s="793"/>
      <c r="M65" s="823"/>
      <c r="O65" s="792"/>
      <c r="P65" s="792"/>
      <c r="Q65" s="792"/>
    </row>
    <row r="66" spans="1:18" s="449" customFormat="1" ht="19.5" customHeight="1" x14ac:dyDescent="0.3">
      <c r="A66" s="791"/>
      <c r="B66" s="792"/>
      <c r="C66" s="792"/>
      <c r="D66" s="792"/>
      <c r="E66" s="792"/>
      <c r="F66" s="792"/>
      <c r="G66" s="792"/>
      <c r="H66" s="792"/>
      <c r="I66" s="792"/>
      <c r="J66" s="793"/>
      <c r="K66" s="793"/>
      <c r="L66" s="793"/>
      <c r="M66" s="823"/>
      <c r="O66" s="792"/>
      <c r="P66" s="792"/>
      <c r="Q66" s="792"/>
    </row>
    <row r="67" spans="1:18" s="449" customFormat="1" ht="20.25" customHeight="1" x14ac:dyDescent="0.5">
      <c r="A67" s="791"/>
      <c r="B67" s="792"/>
      <c r="C67" s="792"/>
      <c r="D67" s="792"/>
      <c r="E67" s="792"/>
      <c r="F67" s="792"/>
      <c r="G67" s="792"/>
      <c r="H67" s="792"/>
      <c r="I67" s="792"/>
      <c r="J67" s="793"/>
      <c r="K67" s="793"/>
      <c r="L67" s="793"/>
      <c r="M67" s="792"/>
    </row>
    <row r="68" spans="1:18" ht="31.5" customHeight="1" x14ac:dyDescent="0.3">
      <c r="A68" s="791"/>
      <c r="B68" s="792"/>
      <c r="C68" s="792"/>
      <c r="D68" s="792"/>
      <c r="E68" s="792"/>
      <c r="F68" s="792"/>
      <c r="G68" s="792"/>
      <c r="H68" s="792"/>
      <c r="I68" s="792"/>
      <c r="J68" s="793"/>
      <c r="K68" s="793"/>
      <c r="L68" s="793"/>
      <c r="M68" s="792"/>
    </row>
    <row r="69" spans="1:18" ht="30" customHeight="1" x14ac:dyDescent="0.3">
      <c r="A69" s="1745"/>
      <c r="B69" s="1746"/>
      <c r="M69" s="1639"/>
      <c r="N69" s="3438"/>
      <c r="O69" s="3437"/>
      <c r="P69" s="3438"/>
      <c r="Q69" s="669"/>
    </row>
    <row r="70" spans="1:18" ht="30" customHeight="1" x14ac:dyDescent="0.3">
      <c r="A70" s="3458"/>
      <c r="B70" s="3458"/>
      <c r="C70" s="3438"/>
      <c r="D70" s="3458"/>
      <c r="E70" s="3458"/>
      <c r="F70" s="3458"/>
      <c r="G70" s="3458"/>
      <c r="H70" s="3458"/>
      <c r="I70" s="3458"/>
      <c r="J70" s="3463"/>
      <c r="K70" s="3437"/>
      <c r="L70" s="3437"/>
      <c r="M70" s="668"/>
      <c r="N70" s="3438"/>
      <c r="O70" s="3437"/>
      <c r="P70" s="3438"/>
      <c r="Q70" s="669"/>
    </row>
    <row r="71" spans="1:18" s="31" customFormat="1" x14ac:dyDescent="0.25">
      <c r="A71" s="3458"/>
      <c r="B71" s="3458"/>
      <c r="C71" s="3438"/>
      <c r="D71" s="668"/>
      <c r="E71" s="668"/>
      <c r="F71" s="668"/>
      <c r="G71" s="668"/>
      <c r="H71" s="668"/>
      <c r="I71" s="668"/>
      <c r="J71" s="3463"/>
      <c r="K71" s="3437"/>
      <c r="L71" s="3437"/>
      <c r="M71" s="668"/>
      <c r="N71" s="1241"/>
      <c r="O71" s="1241"/>
      <c r="P71" s="1241"/>
      <c r="Q71" s="1241"/>
    </row>
    <row r="72" spans="1:18" s="31" customFormat="1" ht="15.75" x14ac:dyDescent="0.25">
      <c r="A72" s="1747"/>
      <c r="B72" s="2273"/>
      <c r="C72" s="1748"/>
      <c r="D72" s="1749"/>
      <c r="E72" s="1750"/>
      <c r="F72" s="1750"/>
      <c r="G72" s="1751"/>
      <c r="H72" s="1751"/>
      <c r="I72" s="1751"/>
      <c r="J72" s="1751"/>
      <c r="K72" s="1241"/>
      <c r="L72" s="1241"/>
      <c r="M72" s="2274"/>
      <c r="N72" s="1242"/>
      <c r="O72" s="1242"/>
      <c r="P72" s="1242"/>
      <c r="Q72" s="1241"/>
      <c r="R72" s="1004"/>
    </row>
    <row r="73" spans="1:18" s="31" customFormat="1" ht="15.75" x14ac:dyDescent="0.25">
      <c r="A73" s="1747"/>
      <c r="B73" s="1752"/>
      <c r="C73" s="1754"/>
      <c r="D73" s="1749"/>
      <c r="E73" s="1750"/>
      <c r="F73" s="1750"/>
      <c r="G73" s="1751"/>
      <c r="H73" s="1751"/>
      <c r="I73" s="1751"/>
      <c r="J73" s="1751"/>
      <c r="K73" s="1242"/>
      <c r="L73" s="1242"/>
      <c r="M73" s="1753"/>
      <c r="N73" s="1242"/>
      <c r="O73" s="1242"/>
      <c r="P73" s="1242"/>
      <c r="Q73" s="1241"/>
    </row>
    <row r="74" spans="1:18" s="31" customFormat="1" ht="15.75" x14ac:dyDescent="0.25">
      <c r="A74" s="1747"/>
      <c r="B74" s="1752"/>
      <c r="C74" s="1754"/>
      <c r="D74" s="1749"/>
      <c r="E74" s="1750"/>
      <c r="F74" s="1750"/>
      <c r="G74" s="1751"/>
      <c r="H74" s="1751"/>
      <c r="I74" s="1751"/>
      <c r="J74" s="1751"/>
      <c r="K74" s="1242"/>
      <c r="L74" s="1242"/>
      <c r="M74" s="1753"/>
      <c r="N74" s="1242"/>
      <c r="O74" s="1242"/>
      <c r="P74" s="1242"/>
      <c r="Q74" s="1241"/>
    </row>
    <row r="75" spans="1:18" s="31" customFormat="1" ht="15.75" x14ac:dyDescent="0.25">
      <c r="A75" s="1747"/>
      <c r="B75" s="1752"/>
      <c r="C75" s="1754"/>
      <c r="D75" s="1749"/>
      <c r="E75" s="1750"/>
      <c r="F75" s="1750"/>
      <c r="G75" s="1751"/>
      <c r="H75" s="1751"/>
      <c r="I75" s="1751"/>
      <c r="J75" s="1751"/>
      <c r="K75" s="1242"/>
      <c r="L75" s="1242"/>
      <c r="M75" s="1753"/>
      <c r="N75" s="1242"/>
      <c r="O75" s="1242"/>
      <c r="P75" s="1242"/>
      <c r="Q75" s="1241"/>
    </row>
    <row r="76" spans="1:18" s="31" customFormat="1" ht="15.75" x14ac:dyDescent="0.25">
      <c r="A76" s="1747"/>
      <c r="B76" s="1752"/>
      <c r="C76" s="1754"/>
      <c r="D76" s="1749"/>
      <c r="E76" s="1750"/>
      <c r="F76" s="1750"/>
      <c r="G76" s="1751"/>
      <c r="H76" s="1751"/>
      <c r="I76" s="1751"/>
      <c r="J76" s="1751"/>
      <c r="K76" s="1242"/>
      <c r="L76" s="1242"/>
      <c r="M76" s="1753"/>
      <c r="N76" s="1242"/>
      <c r="O76" s="1242"/>
      <c r="P76" s="1242"/>
      <c r="Q76" s="1241"/>
    </row>
    <row r="77" spans="1:18" s="31" customFormat="1" ht="15.75" x14ac:dyDescent="0.25">
      <c r="A77" s="1747"/>
      <c r="B77" s="1752"/>
      <c r="C77" s="1754"/>
      <c r="D77" s="1755"/>
      <c r="E77" s="1750"/>
      <c r="F77" s="1750"/>
      <c r="G77" s="1751"/>
      <c r="H77" s="1751"/>
      <c r="I77" s="1751"/>
      <c r="J77" s="1751"/>
      <c r="K77" s="1242"/>
      <c r="L77" s="1242"/>
      <c r="M77" s="1753"/>
      <c r="N77" s="1242"/>
      <c r="O77" s="1242"/>
      <c r="P77" s="1242"/>
      <c r="Q77" s="1241"/>
    </row>
    <row r="78" spans="1:18" s="31" customFormat="1" ht="15.75" x14ac:dyDescent="0.25">
      <c r="A78" s="1747"/>
      <c r="B78" s="1752"/>
      <c r="C78" s="1754"/>
      <c r="D78" s="1755"/>
      <c r="E78" s="1750"/>
      <c r="F78" s="1750"/>
      <c r="G78" s="1751"/>
      <c r="H78" s="1751"/>
      <c r="I78" s="1751"/>
      <c r="J78" s="1751"/>
      <c r="K78" s="1242"/>
      <c r="L78" s="1242"/>
      <c r="M78" s="1753"/>
      <c r="N78" s="1242"/>
      <c r="O78" s="1242"/>
      <c r="P78" s="1242"/>
      <c r="Q78" s="1241"/>
    </row>
    <row r="79" spans="1:18" s="31" customFormat="1" ht="15.75" x14ac:dyDescent="0.25">
      <c r="A79" s="1747"/>
      <c r="B79" s="1752"/>
      <c r="C79" s="1754"/>
      <c r="D79" s="1755"/>
      <c r="E79" s="1750"/>
      <c r="F79" s="1750"/>
      <c r="G79" s="1751"/>
      <c r="H79" s="1751"/>
      <c r="I79" s="1751"/>
      <c r="J79" s="1751"/>
      <c r="K79" s="1242"/>
      <c r="L79" s="1242"/>
      <c r="M79" s="1753"/>
      <c r="N79" s="1242"/>
      <c r="O79" s="1242"/>
      <c r="P79" s="1242"/>
      <c r="Q79" s="1242"/>
    </row>
    <row r="80" spans="1:18" s="60" customFormat="1" ht="34.5" customHeight="1" x14ac:dyDescent="0.25">
      <c r="A80" s="1747"/>
      <c r="B80" s="1752"/>
      <c r="C80" s="1754"/>
      <c r="D80" s="1539"/>
      <c r="E80" s="1750"/>
      <c r="F80" s="1750"/>
      <c r="G80" s="1751"/>
      <c r="H80" s="1751"/>
      <c r="I80" s="1751"/>
      <c r="J80" s="1751"/>
      <c r="K80" s="1242"/>
      <c r="L80" s="1242"/>
      <c r="M80" s="1753"/>
      <c r="N80" s="1243"/>
      <c r="O80" s="1243"/>
      <c r="P80" s="1243"/>
      <c r="Q80" s="1243"/>
    </row>
    <row r="81" spans="1:13" s="31" customFormat="1" ht="15.75" x14ac:dyDescent="0.25">
      <c r="A81" s="1756"/>
      <c r="B81" s="1757"/>
      <c r="C81" s="1758"/>
      <c r="D81" s="1759"/>
      <c r="E81" s="1759"/>
      <c r="F81" s="1759"/>
      <c r="G81" s="1760"/>
      <c r="H81" s="1760"/>
      <c r="I81" s="1760"/>
      <c r="J81" s="1760"/>
      <c r="K81" s="1243"/>
      <c r="L81" s="1243"/>
      <c r="M81" s="1757"/>
    </row>
    <row r="82" spans="1:13" x14ac:dyDescent="0.3">
      <c r="A82" s="31"/>
      <c r="B82" s="31"/>
      <c r="C82" s="31"/>
      <c r="D82" s="31"/>
      <c r="E82" s="555"/>
      <c r="F82" s="31"/>
      <c r="G82" s="1761"/>
      <c r="H82" s="31"/>
      <c r="I82" s="1761"/>
      <c r="J82" s="31"/>
      <c r="K82" s="31"/>
      <c r="L82" s="31"/>
      <c r="M82" s="555"/>
    </row>
    <row r="83" spans="1:13" x14ac:dyDescent="0.3">
      <c r="B83" s="665"/>
      <c r="M83" s="954"/>
    </row>
  </sheetData>
  <mergeCells count="22">
    <mergeCell ref="L1:M1"/>
    <mergeCell ref="A1:J1"/>
    <mergeCell ref="K2:L2"/>
    <mergeCell ref="A70:A71"/>
    <mergeCell ref="B70:B71"/>
    <mergeCell ref="D70:I70"/>
    <mergeCell ref="A32:B32"/>
    <mergeCell ref="A35:B35"/>
    <mergeCell ref="J70:J71"/>
    <mergeCell ref="C70:C71"/>
    <mergeCell ref="D4:D5"/>
    <mergeCell ref="O69:O70"/>
    <mergeCell ref="P69:P70"/>
    <mergeCell ref="C3:E3"/>
    <mergeCell ref="N69:N70"/>
    <mergeCell ref="G3:L3"/>
    <mergeCell ref="K70:K71"/>
    <mergeCell ref="L70:L71"/>
    <mergeCell ref="M3:M6"/>
    <mergeCell ref="F3:F4"/>
    <mergeCell ref="E4:E6"/>
    <mergeCell ref="J5:J6"/>
  </mergeCells>
  <pageMargins left="0" right="0" top="0" bottom="0" header="0.31496062992126" footer="0.31496062992126"/>
  <pageSetup paperSize="9" scale="95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R63"/>
  <sheetViews>
    <sheetView zoomScaleNormal="100" workbookViewId="0">
      <selection activeCell="K3" sqref="K3"/>
    </sheetView>
  </sheetViews>
  <sheetFormatPr defaultColWidth="9.140625" defaultRowHeight="18.75" x14ac:dyDescent="0.3"/>
  <cols>
    <col min="1" max="1" width="22.28515625" style="968" customWidth="1"/>
    <col min="2" max="2" width="29.7109375" style="339" hidden="1" customWidth="1"/>
    <col min="3" max="4" width="14.42578125" style="339" customWidth="1"/>
    <col min="5" max="5" width="14.85546875" style="366" customWidth="1"/>
    <col min="6" max="7" width="14.28515625" style="339" customWidth="1"/>
    <col min="8" max="8" width="14.85546875" style="366" customWidth="1"/>
    <col min="9" max="10" width="14.140625" style="339" customWidth="1"/>
    <col min="11" max="11" width="14.85546875" style="366" customWidth="1"/>
    <col min="12" max="16384" width="9.140625" style="366"/>
  </cols>
  <sheetData>
    <row r="1" spans="1:15" s="791" customFormat="1" ht="13.5" customHeight="1" x14ac:dyDescent="0.5">
      <c r="A1" s="938"/>
      <c r="B1" s="939"/>
      <c r="C1" s="939"/>
      <c r="D1" s="940"/>
      <c r="F1" s="939"/>
      <c r="G1" s="940"/>
      <c r="I1" s="939"/>
      <c r="J1" s="940"/>
    </row>
    <row r="2" spans="1:15" s="791" customFormat="1" ht="28.5" customHeight="1" x14ac:dyDescent="0.5">
      <c r="A2" s="3474" t="s">
        <v>382</v>
      </c>
      <c r="B2" s="3474"/>
      <c r="C2" s="3474"/>
      <c r="D2" s="3474"/>
      <c r="E2" s="3474"/>
      <c r="F2" s="3474"/>
      <c r="G2" s="3474"/>
      <c r="H2" s="3474"/>
      <c r="I2" s="3474"/>
      <c r="J2" s="3474"/>
      <c r="K2" s="3474"/>
    </row>
    <row r="3" spans="1:15" s="942" customFormat="1" ht="13.5" customHeight="1" x14ac:dyDescent="0.5">
      <c r="A3" s="939"/>
      <c r="B3" s="939"/>
      <c r="C3" s="939"/>
      <c r="D3" s="941"/>
      <c r="F3" s="939"/>
      <c r="G3" s="941"/>
      <c r="I3" s="939"/>
      <c r="J3" s="941"/>
      <c r="K3" s="993">
        <f ca="1">+TODAY()</f>
        <v>45660</v>
      </c>
      <c r="L3" s="993"/>
      <c r="M3" s="993"/>
      <c r="N3" s="993"/>
      <c r="O3" s="993"/>
    </row>
    <row r="4" spans="1:15" s="942" customFormat="1" ht="10.5" customHeight="1" thickBot="1" x14ac:dyDescent="0.55000000000000004">
      <c r="A4" s="939"/>
      <c r="B4" s="939"/>
      <c r="C4" s="939"/>
      <c r="D4" s="941"/>
      <c r="F4" s="939"/>
      <c r="G4" s="941"/>
      <c r="I4" s="939"/>
      <c r="J4" s="941"/>
    </row>
    <row r="5" spans="1:15" s="385" customFormat="1" ht="24.75" customHeight="1" thickBot="1" x14ac:dyDescent="0.35">
      <c r="A5" s="3472" t="s">
        <v>145</v>
      </c>
      <c r="B5" s="944"/>
      <c r="C5" s="3469" t="s">
        <v>381</v>
      </c>
      <c r="D5" s="3470"/>
      <c r="E5" s="3471"/>
      <c r="F5" s="3466" t="s">
        <v>383</v>
      </c>
      <c r="G5" s="3466"/>
      <c r="H5" s="3466"/>
      <c r="I5" s="3467" t="s">
        <v>379</v>
      </c>
      <c r="J5" s="3466"/>
      <c r="K5" s="3468"/>
    </row>
    <row r="6" spans="1:15" s="385" customFormat="1" ht="24.75" customHeight="1" thickBot="1" x14ac:dyDescent="0.5">
      <c r="A6" s="3473"/>
      <c r="B6" s="945"/>
      <c r="C6" s="946" t="s">
        <v>81</v>
      </c>
      <c r="D6" s="947" t="s">
        <v>360</v>
      </c>
      <c r="E6" s="948" t="s">
        <v>28</v>
      </c>
      <c r="F6" s="949" t="s">
        <v>81</v>
      </c>
      <c r="G6" s="947" t="s">
        <v>360</v>
      </c>
      <c r="H6" s="950" t="s">
        <v>28</v>
      </c>
      <c r="I6" s="946" t="s">
        <v>81</v>
      </c>
      <c r="J6" s="947" t="s">
        <v>360</v>
      </c>
      <c r="K6" s="948" t="s">
        <v>28</v>
      </c>
    </row>
    <row r="7" spans="1:15" ht="26.25" customHeight="1" x14ac:dyDescent="0.3">
      <c r="A7" s="985" t="s">
        <v>361</v>
      </c>
      <c r="B7" s="969" t="s">
        <v>81</v>
      </c>
      <c r="C7" s="970" t="e">
        <f>+#REF!</f>
        <v>#REF!</v>
      </c>
      <c r="D7" s="971"/>
      <c r="E7" s="972" t="e">
        <f t="shared" ref="E7:E16" si="0">SUM(C7:D7)</f>
        <v>#REF!</v>
      </c>
      <c r="F7" s="973" t="e">
        <f>+#REF!</f>
        <v>#REF!</v>
      </c>
      <c r="G7" s="971"/>
      <c r="H7" s="974" t="e">
        <f t="shared" ref="H7:H16" si="1">SUM(F7:G7)</f>
        <v>#REF!</v>
      </c>
      <c r="I7" s="970" t="e">
        <f>+#REF!</f>
        <v>#REF!</v>
      </c>
      <c r="J7" s="971"/>
      <c r="K7" s="972" t="e">
        <f t="shared" ref="K7:K16" si="2">SUM(I7:J7)</f>
        <v>#REF!</v>
      </c>
    </row>
    <row r="8" spans="1:15" ht="26.25" customHeight="1" x14ac:dyDescent="0.3">
      <c r="A8" s="986" t="s">
        <v>362</v>
      </c>
      <c r="B8" s="975" t="s">
        <v>355</v>
      </c>
      <c r="C8" s="976"/>
      <c r="D8" s="977" t="e">
        <f>+#REF!</f>
        <v>#REF!</v>
      </c>
      <c r="E8" s="978" t="e">
        <f t="shared" si="0"/>
        <v>#REF!</v>
      </c>
      <c r="F8" s="979"/>
      <c r="G8" s="977" t="e">
        <f>+#REF!</f>
        <v>#REF!</v>
      </c>
      <c r="H8" s="980" t="e">
        <f t="shared" si="1"/>
        <v>#REF!</v>
      </c>
      <c r="I8" s="976"/>
      <c r="J8" s="977" t="e">
        <f>+#REF!</f>
        <v>#REF!</v>
      </c>
      <c r="K8" s="978" t="e">
        <f t="shared" si="2"/>
        <v>#REF!</v>
      </c>
    </row>
    <row r="9" spans="1:15" ht="26.25" customHeight="1" x14ac:dyDescent="0.3">
      <c r="A9" s="986" t="s">
        <v>363</v>
      </c>
      <c r="B9" s="975" t="s">
        <v>356</v>
      </c>
      <c r="C9" s="976">
        <v>462317</v>
      </c>
      <c r="D9" s="977">
        <v>43908</v>
      </c>
      <c r="E9" s="978">
        <f t="shared" si="0"/>
        <v>506225</v>
      </c>
      <c r="F9" s="979">
        <v>462317</v>
      </c>
      <c r="G9" s="977">
        <v>43908</v>
      </c>
      <c r="H9" s="980">
        <f t="shared" si="1"/>
        <v>506225</v>
      </c>
      <c r="I9" s="976">
        <v>462317</v>
      </c>
      <c r="J9" s="977">
        <v>43908</v>
      </c>
      <c r="K9" s="978">
        <f t="shared" si="2"/>
        <v>506225</v>
      </c>
    </row>
    <row r="10" spans="1:15" ht="26.25" customHeight="1" x14ac:dyDescent="0.3">
      <c r="A10" s="986" t="s">
        <v>364</v>
      </c>
      <c r="B10" s="975" t="s">
        <v>357</v>
      </c>
      <c r="C10" s="976">
        <v>177180</v>
      </c>
      <c r="D10" s="977">
        <v>20000</v>
      </c>
      <c r="E10" s="978">
        <f t="shared" si="0"/>
        <v>197180</v>
      </c>
      <c r="F10" s="979">
        <v>177180</v>
      </c>
      <c r="G10" s="977">
        <v>20000</v>
      </c>
      <c r="H10" s="980">
        <f t="shared" si="1"/>
        <v>197180</v>
      </c>
      <c r="I10" s="976">
        <v>177180</v>
      </c>
      <c r="J10" s="977">
        <v>20000</v>
      </c>
      <c r="K10" s="978">
        <f t="shared" si="2"/>
        <v>197180</v>
      </c>
    </row>
    <row r="11" spans="1:15" ht="26.25" customHeight="1" x14ac:dyDescent="0.3">
      <c r="A11" s="986" t="s">
        <v>365</v>
      </c>
      <c r="B11" s="975" t="s">
        <v>291</v>
      </c>
      <c r="C11" s="981" t="e">
        <f>+#REF!</f>
        <v>#REF!</v>
      </c>
      <c r="D11" s="982"/>
      <c r="E11" s="978" t="e">
        <f t="shared" si="0"/>
        <v>#REF!</v>
      </c>
      <c r="F11" s="983" t="e">
        <f>+#REF!</f>
        <v>#REF!</v>
      </c>
      <c r="G11" s="982"/>
      <c r="H11" s="980" t="e">
        <f t="shared" si="1"/>
        <v>#REF!</v>
      </c>
      <c r="I11" s="981" t="e">
        <f>+#REF!</f>
        <v>#REF!</v>
      </c>
      <c r="J11" s="982"/>
      <c r="K11" s="978" t="e">
        <f t="shared" si="2"/>
        <v>#REF!</v>
      </c>
    </row>
    <row r="12" spans="1:15" ht="26.25" customHeight="1" x14ac:dyDescent="0.3">
      <c r="A12" s="986" t="s">
        <v>366</v>
      </c>
      <c r="B12" s="975" t="s">
        <v>291</v>
      </c>
      <c r="C12" s="976" t="e">
        <f>+#REF!</f>
        <v>#REF!</v>
      </c>
      <c r="D12" s="977"/>
      <c r="E12" s="978" t="e">
        <f t="shared" si="0"/>
        <v>#REF!</v>
      </c>
      <c r="F12" s="979" t="e">
        <f>+#REF!</f>
        <v>#REF!</v>
      </c>
      <c r="G12" s="977"/>
      <c r="H12" s="980" t="e">
        <f t="shared" si="1"/>
        <v>#REF!</v>
      </c>
      <c r="I12" s="976" t="e">
        <f>+#REF!</f>
        <v>#REF!</v>
      </c>
      <c r="J12" s="977"/>
      <c r="K12" s="978" t="e">
        <f t="shared" si="2"/>
        <v>#REF!</v>
      </c>
    </row>
    <row r="13" spans="1:15" ht="26.25" customHeight="1" x14ac:dyDescent="0.3">
      <c r="A13" s="986" t="s">
        <v>367</v>
      </c>
      <c r="B13" s="975" t="s">
        <v>358</v>
      </c>
      <c r="C13" s="976">
        <v>57200</v>
      </c>
      <c r="D13" s="977">
        <f>171800+74240</f>
        <v>246040</v>
      </c>
      <c r="E13" s="978">
        <f t="shared" si="0"/>
        <v>303240</v>
      </c>
      <c r="F13" s="979">
        <v>57200</v>
      </c>
      <c r="G13" s="977">
        <f>171800+74240</f>
        <v>246040</v>
      </c>
      <c r="H13" s="980">
        <f t="shared" si="1"/>
        <v>303240</v>
      </c>
      <c r="I13" s="976">
        <v>57200</v>
      </c>
      <c r="J13" s="977">
        <f>171800+74240</f>
        <v>246040</v>
      </c>
      <c r="K13" s="978">
        <f t="shared" si="2"/>
        <v>303240</v>
      </c>
    </row>
    <row r="14" spans="1:15" ht="26.25" customHeight="1" x14ac:dyDescent="0.3">
      <c r="A14" s="986" t="s">
        <v>368</v>
      </c>
      <c r="B14" s="975" t="s">
        <v>359</v>
      </c>
      <c r="C14" s="976">
        <v>262680</v>
      </c>
      <c r="D14" s="977">
        <v>185800</v>
      </c>
      <c r="E14" s="978">
        <f t="shared" si="0"/>
        <v>448480</v>
      </c>
      <c r="F14" s="979">
        <v>262680</v>
      </c>
      <c r="G14" s="977">
        <v>185800</v>
      </c>
      <c r="H14" s="980">
        <f t="shared" si="1"/>
        <v>448480</v>
      </c>
      <c r="I14" s="976">
        <v>262680</v>
      </c>
      <c r="J14" s="977">
        <v>185800</v>
      </c>
      <c r="K14" s="978">
        <f t="shared" si="2"/>
        <v>448480</v>
      </c>
    </row>
    <row r="15" spans="1:15" ht="26.25" customHeight="1" x14ac:dyDescent="0.3">
      <c r="A15" s="986" t="s">
        <v>369</v>
      </c>
      <c r="B15" s="975" t="s">
        <v>372</v>
      </c>
      <c r="C15" s="976">
        <v>371172</v>
      </c>
      <c r="D15" s="984">
        <v>254921</v>
      </c>
      <c r="E15" s="978">
        <f t="shared" si="0"/>
        <v>626093</v>
      </c>
      <c r="F15" s="979">
        <v>371172</v>
      </c>
      <c r="G15" s="984">
        <v>254921</v>
      </c>
      <c r="H15" s="980">
        <f t="shared" si="1"/>
        <v>626093</v>
      </c>
      <c r="I15" s="976">
        <v>371172</v>
      </c>
      <c r="J15" s="984">
        <v>254921</v>
      </c>
      <c r="K15" s="978">
        <f t="shared" si="2"/>
        <v>626093</v>
      </c>
    </row>
    <row r="16" spans="1:15" ht="26.25" customHeight="1" x14ac:dyDescent="0.3">
      <c r="A16" s="986" t="s">
        <v>370</v>
      </c>
      <c r="B16" s="975" t="s">
        <v>81</v>
      </c>
      <c r="C16" s="976" t="e">
        <f>+#REF!</f>
        <v>#REF!</v>
      </c>
      <c r="D16" s="977"/>
      <c r="E16" s="978" t="e">
        <f t="shared" si="0"/>
        <v>#REF!</v>
      </c>
      <c r="F16" s="979" t="e">
        <f>+#REF!</f>
        <v>#REF!</v>
      </c>
      <c r="G16" s="977"/>
      <c r="H16" s="980" t="e">
        <f t="shared" si="1"/>
        <v>#REF!</v>
      </c>
      <c r="I16" s="976" t="e">
        <f>+#REF!</f>
        <v>#REF!</v>
      </c>
      <c r="J16" s="977"/>
      <c r="K16" s="978" t="e">
        <f t="shared" si="2"/>
        <v>#REF!</v>
      </c>
    </row>
    <row r="17" spans="1:11" s="385" customFormat="1" ht="39.75" customHeight="1" thickBot="1" x14ac:dyDescent="0.35">
      <c r="A17" s="992" t="s">
        <v>380</v>
      </c>
      <c r="B17" s="650"/>
      <c r="C17" s="951" t="e">
        <f>+#REF!</f>
        <v>#REF!</v>
      </c>
      <c r="D17" s="372"/>
      <c r="E17" s="952" t="e">
        <f>+C17</f>
        <v>#REF!</v>
      </c>
      <c r="F17" s="953" t="e">
        <f>+#REF!</f>
        <v>#REF!</v>
      </c>
      <c r="G17" s="372"/>
      <c r="H17" s="954" t="e">
        <f>+F17</f>
        <v>#REF!</v>
      </c>
      <c r="I17" s="951" t="e">
        <f>+#REF!</f>
        <v>#REF!</v>
      </c>
      <c r="J17" s="372"/>
      <c r="K17" s="952" t="e">
        <f>+I17</f>
        <v>#REF!</v>
      </c>
    </row>
    <row r="18" spans="1:11" s="449" customFormat="1" ht="26.25" customHeight="1" thickBot="1" x14ac:dyDescent="0.55000000000000004">
      <c r="A18" s="987" t="s">
        <v>28</v>
      </c>
      <c r="B18" s="988"/>
      <c r="C18" s="989" t="e">
        <f t="shared" ref="C18:K18" si="3">SUM(C7:C17)</f>
        <v>#REF!</v>
      </c>
      <c r="D18" s="989" t="e">
        <f t="shared" si="3"/>
        <v>#REF!</v>
      </c>
      <c r="E18" s="989" t="e">
        <f t="shared" si="3"/>
        <v>#REF!</v>
      </c>
      <c r="F18" s="990" t="e">
        <f t="shared" si="3"/>
        <v>#REF!</v>
      </c>
      <c r="G18" s="989" t="e">
        <f t="shared" si="3"/>
        <v>#REF!</v>
      </c>
      <c r="H18" s="991" t="e">
        <f t="shared" si="3"/>
        <v>#REF!</v>
      </c>
      <c r="I18" s="989" t="e">
        <f t="shared" si="3"/>
        <v>#REF!</v>
      </c>
      <c r="J18" s="989" t="e">
        <f t="shared" si="3"/>
        <v>#REF!</v>
      </c>
      <c r="K18" s="989" t="e">
        <f t="shared" si="3"/>
        <v>#REF!</v>
      </c>
    </row>
    <row r="19" spans="1:11" s="385" customFormat="1" ht="13.5" customHeight="1" x14ac:dyDescent="0.3">
      <c r="A19" s="955"/>
      <c r="B19" s="823"/>
      <c r="C19" s="823"/>
      <c r="D19" s="342"/>
      <c r="E19" s="401"/>
      <c r="F19" s="823"/>
      <c r="G19" s="342"/>
      <c r="H19" s="401"/>
      <c r="I19" s="823"/>
      <c r="J19" s="342"/>
      <c r="K19" s="401"/>
    </row>
    <row r="20" spans="1:11" s="942" customFormat="1" ht="36" customHeight="1" x14ac:dyDescent="0.5">
      <c r="A20" s="938"/>
      <c r="B20" s="956"/>
      <c r="C20" s="939"/>
      <c r="D20" s="941"/>
      <c r="E20" s="957"/>
      <c r="F20" s="939"/>
      <c r="G20" s="941"/>
      <c r="H20" s="957"/>
      <c r="I20" s="939"/>
      <c r="J20" s="941"/>
      <c r="K20" s="957"/>
    </row>
    <row r="21" spans="1:11" s="942" customFormat="1" ht="17.25" hidden="1" customHeight="1" x14ac:dyDescent="0.5">
      <c r="A21" s="939"/>
      <c r="B21" s="939"/>
      <c r="C21" s="939"/>
      <c r="D21" s="941"/>
      <c r="F21" s="939"/>
      <c r="G21" s="941"/>
      <c r="I21" s="939"/>
      <c r="J21" s="941"/>
    </row>
    <row r="22" spans="1:11" s="942" customFormat="1" ht="17.25" hidden="1" customHeight="1" thickBot="1" x14ac:dyDescent="0.55000000000000004">
      <c r="A22" s="939"/>
      <c r="B22" s="939"/>
      <c r="C22" s="939"/>
      <c r="D22" s="941"/>
      <c r="F22" s="939"/>
      <c r="G22" s="941"/>
      <c r="I22" s="939"/>
      <c r="J22" s="941"/>
    </row>
    <row r="23" spans="1:11" s="942" customFormat="1" ht="17.25" hidden="1" customHeight="1" x14ac:dyDescent="0.5">
      <c r="A23" s="939"/>
      <c r="B23" s="939"/>
      <c r="C23" s="939"/>
      <c r="D23" s="941"/>
      <c r="F23" s="939"/>
      <c r="G23" s="941"/>
      <c r="I23" s="939"/>
      <c r="J23" s="941"/>
    </row>
    <row r="24" spans="1:11" s="942" customFormat="1" ht="17.25" hidden="1" customHeight="1" x14ac:dyDescent="0.5">
      <c r="A24" s="939"/>
      <c r="B24" s="939"/>
      <c r="C24" s="939"/>
      <c r="D24" s="941"/>
      <c r="F24" s="939"/>
      <c r="G24" s="941"/>
      <c r="I24" s="939"/>
      <c r="J24" s="941"/>
    </row>
    <row r="25" spans="1:11" s="942" customFormat="1" ht="17.25" hidden="1" customHeight="1" x14ac:dyDescent="0.5">
      <c r="A25" s="939"/>
      <c r="B25" s="939"/>
      <c r="C25" s="939"/>
      <c r="D25" s="941"/>
      <c r="F25" s="939"/>
      <c r="G25" s="941"/>
      <c r="I25" s="939"/>
      <c r="J25" s="941"/>
    </row>
    <row r="26" spans="1:11" s="942" customFormat="1" ht="13.5" hidden="1" customHeight="1" x14ac:dyDescent="0.5">
      <c r="A26" s="939"/>
      <c r="B26" s="939"/>
      <c r="C26" s="939"/>
      <c r="D26" s="941"/>
      <c r="F26" s="939"/>
      <c r="G26" s="941"/>
      <c r="I26" s="939"/>
      <c r="J26" s="941"/>
    </row>
    <row r="27" spans="1:11" s="385" customFormat="1" ht="19.5" customHeight="1" x14ac:dyDescent="0.3">
      <c r="A27" s="955"/>
      <c r="C27" s="401"/>
      <c r="D27" s="650"/>
      <c r="F27" s="401"/>
      <c r="G27" s="650"/>
      <c r="I27" s="401"/>
      <c r="J27" s="650"/>
    </row>
    <row r="28" spans="1:11" s="385" customFormat="1" ht="8.25" customHeight="1" x14ac:dyDescent="0.3">
      <c r="A28" s="955"/>
      <c r="B28" s="823"/>
      <c r="C28" s="823"/>
      <c r="D28" s="342"/>
      <c r="F28" s="823"/>
      <c r="G28" s="342"/>
      <c r="I28" s="823"/>
      <c r="J28" s="342"/>
    </row>
    <row r="29" spans="1:11" s="449" customFormat="1" ht="19.5" customHeight="1" x14ac:dyDescent="0.5">
      <c r="A29" s="958"/>
      <c r="B29" s="959"/>
      <c r="C29" s="960"/>
      <c r="D29" s="961"/>
      <c r="F29" s="960"/>
      <c r="G29" s="961"/>
      <c r="I29" s="960"/>
      <c r="J29" s="961"/>
    </row>
    <row r="30" spans="1:11" s="449" customFormat="1" ht="13.5" customHeight="1" x14ac:dyDescent="0.5">
      <c r="A30" s="943"/>
      <c r="B30" s="962"/>
      <c r="C30" s="963"/>
      <c r="D30" s="961"/>
      <c r="F30" s="963"/>
      <c r="G30" s="961"/>
      <c r="I30" s="963"/>
      <c r="J30" s="961"/>
    </row>
    <row r="31" spans="1:11" s="449" customFormat="1" ht="19.5" customHeight="1" x14ac:dyDescent="0.5">
      <c r="A31" s="791"/>
      <c r="B31" s="962"/>
      <c r="C31" s="964"/>
      <c r="D31" s="961"/>
      <c r="F31" s="964"/>
      <c r="G31" s="961"/>
      <c r="I31" s="964"/>
      <c r="J31" s="961"/>
    </row>
    <row r="32" spans="1:11" s="449" customFormat="1" ht="19.5" customHeight="1" x14ac:dyDescent="0.5">
      <c r="A32" s="943"/>
      <c r="B32" s="962"/>
      <c r="C32" s="963"/>
      <c r="D32" s="961"/>
      <c r="F32" s="963"/>
      <c r="G32" s="961"/>
      <c r="I32" s="963"/>
      <c r="J32" s="961"/>
    </row>
    <row r="33" spans="1:11" s="449" customFormat="1" ht="19.5" customHeight="1" x14ac:dyDescent="0.5">
      <c r="A33" s="943"/>
      <c r="B33" s="962"/>
      <c r="C33" s="963"/>
      <c r="D33" s="961"/>
      <c r="E33" s="965"/>
      <c r="F33" s="963"/>
      <c r="G33" s="961"/>
      <c r="H33" s="965"/>
      <c r="I33" s="963"/>
      <c r="J33" s="961"/>
      <c r="K33" s="965"/>
    </row>
    <row r="34" spans="1:11" s="449" customFormat="1" ht="19.5" customHeight="1" x14ac:dyDescent="0.5">
      <c r="A34" s="943"/>
      <c r="B34" s="962"/>
      <c r="C34" s="963"/>
      <c r="D34" s="961"/>
      <c r="E34" s="965"/>
      <c r="F34" s="963"/>
      <c r="G34" s="961"/>
      <c r="H34" s="965"/>
      <c r="I34" s="963"/>
      <c r="J34" s="961"/>
      <c r="K34" s="965"/>
    </row>
    <row r="35" spans="1:11" s="449" customFormat="1" ht="19.5" customHeight="1" x14ac:dyDescent="0.5">
      <c r="A35" s="943"/>
      <c r="B35" s="962"/>
      <c r="C35" s="963"/>
      <c r="D35" s="961"/>
      <c r="E35" s="965"/>
      <c r="F35" s="963"/>
      <c r="G35" s="961"/>
      <c r="H35" s="965"/>
      <c r="I35" s="963"/>
      <c r="J35" s="961"/>
      <c r="K35" s="965"/>
    </row>
    <row r="36" spans="1:11" s="449" customFormat="1" ht="19.5" customHeight="1" x14ac:dyDescent="0.5">
      <c r="A36" s="943"/>
      <c r="B36" s="962"/>
      <c r="C36" s="963"/>
      <c r="D36" s="961"/>
      <c r="E36" s="965"/>
      <c r="F36" s="963"/>
      <c r="G36" s="961"/>
      <c r="H36" s="965"/>
      <c r="I36" s="963"/>
      <c r="J36" s="961"/>
      <c r="K36" s="965"/>
    </row>
    <row r="37" spans="1:11" s="449" customFormat="1" ht="19.5" customHeight="1" x14ac:dyDescent="0.5">
      <c r="A37" s="943"/>
      <c r="B37" s="962"/>
      <c r="C37" s="963"/>
      <c r="D37" s="961"/>
      <c r="E37" s="965"/>
      <c r="F37" s="963"/>
      <c r="G37" s="961"/>
      <c r="H37" s="965"/>
      <c r="I37" s="963"/>
      <c r="J37" s="961"/>
      <c r="K37" s="965"/>
    </row>
    <row r="38" spans="1:11" s="449" customFormat="1" ht="19.5" customHeight="1" x14ac:dyDescent="0.5">
      <c r="A38" s="943"/>
      <c r="B38" s="962"/>
      <c r="C38" s="963"/>
      <c r="D38" s="961"/>
      <c r="E38" s="965"/>
      <c r="F38" s="963"/>
      <c r="G38" s="961"/>
      <c r="H38" s="965"/>
      <c r="I38" s="963"/>
      <c r="J38" s="961"/>
      <c r="K38" s="965"/>
    </row>
    <row r="39" spans="1:11" s="449" customFormat="1" ht="19.5" customHeight="1" x14ac:dyDescent="0.5">
      <c r="A39" s="943"/>
      <c r="B39" s="962"/>
      <c r="C39" s="963"/>
      <c r="D39" s="966"/>
      <c r="E39" s="965"/>
      <c r="F39" s="963"/>
      <c r="G39" s="966"/>
      <c r="H39" s="965"/>
      <c r="I39" s="963"/>
      <c r="J39" s="966"/>
      <c r="K39" s="965"/>
    </row>
    <row r="40" spans="1:11" s="449" customFormat="1" ht="18" customHeight="1" x14ac:dyDescent="0.5">
      <c r="A40" s="943"/>
      <c r="B40" s="962"/>
      <c r="C40" s="963"/>
      <c r="D40" s="966"/>
      <c r="E40" s="965"/>
      <c r="F40" s="963"/>
      <c r="G40" s="966"/>
      <c r="H40" s="965"/>
      <c r="I40" s="963"/>
      <c r="J40" s="966"/>
      <c r="K40" s="965"/>
    </row>
    <row r="41" spans="1:11" s="449" customFormat="1" x14ac:dyDescent="0.5">
      <c r="A41" s="943"/>
      <c r="B41" s="962"/>
      <c r="C41" s="963"/>
      <c r="D41" s="966"/>
      <c r="E41" s="967"/>
      <c r="F41" s="963"/>
      <c r="G41" s="966"/>
      <c r="H41" s="967"/>
      <c r="I41" s="963"/>
      <c r="J41" s="966"/>
      <c r="K41" s="967"/>
    </row>
    <row r="54" spans="1:18" s="339" customFormat="1" x14ac:dyDescent="0.3">
      <c r="A54" s="638"/>
      <c r="B54" s="366"/>
      <c r="C54" s="406"/>
      <c r="E54" s="366"/>
      <c r="F54" s="406"/>
      <c r="H54" s="366"/>
      <c r="I54" s="406"/>
      <c r="K54" s="366"/>
      <c r="L54" s="366"/>
      <c r="M54" s="366"/>
      <c r="N54" s="366"/>
      <c r="O54" s="366"/>
      <c r="P54" s="366"/>
      <c r="Q54" s="366"/>
      <c r="R54" s="366"/>
    </row>
    <row r="55" spans="1:18" s="339" customFormat="1" x14ac:dyDescent="0.3">
      <c r="A55" s="638"/>
      <c r="B55" s="366"/>
      <c r="C55" s="406"/>
      <c r="E55" s="366"/>
      <c r="F55" s="406"/>
      <c r="H55" s="366"/>
      <c r="I55" s="406"/>
      <c r="K55" s="366"/>
      <c r="L55" s="366"/>
      <c r="M55" s="366"/>
      <c r="N55" s="366"/>
      <c r="O55" s="366"/>
      <c r="P55" s="366"/>
      <c r="Q55" s="366"/>
      <c r="R55" s="366"/>
    </row>
    <row r="56" spans="1:18" s="339" customFormat="1" x14ac:dyDescent="0.3">
      <c r="A56" s="638"/>
      <c r="B56" s="366"/>
      <c r="C56" s="406"/>
      <c r="E56" s="366"/>
      <c r="F56" s="406"/>
      <c r="H56" s="366"/>
      <c r="I56" s="406"/>
      <c r="K56" s="366"/>
      <c r="L56" s="366"/>
      <c r="M56" s="366"/>
      <c r="N56" s="366"/>
      <c r="O56" s="366"/>
      <c r="P56" s="366"/>
      <c r="Q56" s="366"/>
      <c r="R56" s="366"/>
    </row>
    <row r="57" spans="1:18" s="339" customFormat="1" x14ac:dyDescent="0.3">
      <c r="A57" s="638"/>
      <c r="B57" s="366"/>
      <c r="C57" s="406"/>
      <c r="E57" s="366"/>
      <c r="F57" s="406"/>
      <c r="H57" s="366"/>
      <c r="I57" s="406"/>
      <c r="K57" s="366"/>
      <c r="L57" s="366"/>
      <c r="M57" s="366"/>
      <c r="N57" s="366"/>
      <c r="O57" s="366"/>
      <c r="P57" s="366"/>
      <c r="Q57" s="366"/>
      <c r="R57" s="366"/>
    </row>
    <row r="59" spans="1:18" s="339" customFormat="1" x14ac:dyDescent="0.3">
      <c r="A59" s="638"/>
      <c r="B59" s="366"/>
      <c r="C59" s="406"/>
      <c r="E59" s="366"/>
      <c r="F59" s="406"/>
      <c r="H59" s="366"/>
      <c r="I59" s="406"/>
      <c r="K59" s="366"/>
      <c r="L59" s="366"/>
      <c r="M59" s="366"/>
      <c r="N59" s="366"/>
      <c r="O59" s="366"/>
      <c r="P59" s="366"/>
      <c r="Q59" s="366"/>
      <c r="R59" s="366"/>
    </row>
    <row r="63" spans="1:18" s="339" customFormat="1" x14ac:dyDescent="0.3">
      <c r="A63" s="638"/>
      <c r="B63" s="366"/>
      <c r="C63" s="406"/>
      <c r="E63" s="366"/>
      <c r="F63" s="406"/>
      <c r="H63" s="366"/>
      <c r="I63" s="406"/>
      <c r="K63" s="366"/>
      <c r="L63" s="366"/>
      <c r="M63" s="366"/>
      <c r="N63" s="366"/>
      <c r="O63" s="366"/>
      <c r="P63" s="366"/>
      <c r="Q63" s="366"/>
      <c r="R63" s="366"/>
    </row>
  </sheetData>
  <mergeCells count="5">
    <mergeCell ref="F5:H5"/>
    <mergeCell ref="I5:K5"/>
    <mergeCell ref="C5:E5"/>
    <mergeCell ref="A5:A6"/>
    <mergeCell ref="A2:K2"/>
  </mergeCells>
  <pageMargins left="0.39370078740157483" right="0.19685039370078741" top="0.35433070866141736" bottom="0.15748031496062992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287B-48FA-41FA-BB36-FF5EEC5905E4}">
  <sheetPr>
    <tabColor rgb="FFFFCCFF"/>
  </sheetPr>
  <dimension ref="A1:R94"/>
  <sheetViews>
    <sheetView view="pageBreakPreview" zoomScaleNormal="100" zoomScaleSheetLayoutView="100" workbookViewId="0">
      <pane ySplit="6" topLeftCell="A7" activePane="bottomLeft" state="frozen"/>
      <selection pane="bottomLeft" activeCell="K10" sqref="K10"/>
    </sheetView>
  </sheetViews>
  <sheetFormatPr defaultColWidth="8.85546875" defaultRowHeight="18.75" x14ac:dyDescent="0.3"/>
  <cols>
    <col min="1" max="1" width="41.42578125" style="366" customWidth="1"/>
    <col min="2" max="2" width="12.85546875" style="366" customWidth="1"/>
    <col min="3" max="3" width="11.28515625" style="366" customWidth="1"/>
    <col min="4" max="4" width="12.85546875" style="366" customWidth="1"/>
    <col min="5" max="5" width="11.42578125" style="385" customWidth="1"/>
    <col min="6" max="6" width="12.28515625" style="366" customWidth="1"/>
    <col min="7" max="7" width="11.85546875" style="366" customWidth="1"/>
    <col min="8" max="8" width="10.7109375" style="366" customWidth="1"/>
    <col min="9" max="9" width="12" style="366" customWidth="1"/>
    <col min="10" max="10" width="0.7109375" style="366" hidden="1" customWidth="1"/>
    <col min="11" max="11" width="8.42578125" style="366" customWidth="1"/>
    <col min="12" max="12" width="8.140625" style="366" customWidth="1"/>
    <col min="13" max="13" width="11.85546875" style="385" customWidth="1"/>
    <col min="14" max="14" width="9.85546875" style="366" customWidth="1"/>
    <col min="15" max="15" width="12.28515625" style="366" customWidth="1"/>
    <col min="16" max="16" width="11.85546875" style="366" customWidth="1"/>
    <col min="17" max="17" width="11.7109375" style="366" customWidth="1"/>
    <col min="18" max="16384" width="8.85546875" style="366"/>
  </cols>
  <sheetData>
    <row r="1" spans="1:15" s="673" customFormat="1" ht="18.75" customHeight="1" thickTop="1" thickBot="1" x14ac:dyDescent="0.55000000000000004">
      <c r="A1" s="3456" t="s">
        <v>941</v>
      </c>
      <c r="B1" s="3456"/>
      <c r="C1" s="3456"/>
      <c r="D1" s="3456"/>
      <c r="E1" s="3456"/>
      <c r="F1" s="3456"/>
      <c r="G1" s="3456"/>
      <c r="H1" s="3456"/>
      <c r="I1" s="3456"/>
      <c r="J1" s="3456"/>
      <c r="K1" s="2318" t="s">
        <v>340</v>
      </c>
      <c r="L1" s="3475">
        <f ca="1">+TODAY()</f>
        <v>45660</v>
      </c>
      <c r="M1" s="3476"/>
    </row>
    <row r="2" spans="1:15" ht="5.25" customHeight="1" thickTop="1" thickBot="1" x14ac:dyDescent="0.35">
      <c r="A2" s="383"/>
      <c r="B2" s="383"/>
      <c r="C2" s="383"/>
      <c r="D2" s="383"/>
      <c r="E2" s="383"/>
      <c r="F2" s="383"/>
      <c r="G2" s="383"/>
      <c r="H2" s="383"/>
      <c r="I2" s="383"/>
      <c r="J2" s="831"/>
      <c r="K2" s="3457"/>
      <c r="L2" s="3457"/>
      <c r="M2" s="383"/>
    </row>
    <row r="3" spans="1:15" s="673" customFormat="1" ht="26.25" customHeight="1" thickTop="1" x14ac:dyDescent="0.5">
      <c r="A3" s="2310"/>
      <c r="B3" s="2311" t="s">
        <v>29</v>
      </c>
      <c r="C3" s="3439" t="s">
        <v>67</v>
      </c>
      <c r="D3" s="3440"/>
      <c r="E3" s="3441"/>
      <c r="F3" s="3447" t="s">
        <v>613</v>
      </c>
      <c r="G3" s="3442" t="s">
        <v>58</v>
      </c>
      <c r="H3" s="3443"/>
      <c r="I3" s="3443"/>
      <c r="J3" s="3443"/>
      <c r="K3" s="3443"/>
      <c r="L3" s="3443"/>
      <c r="M3" s="3444" t="s">
        <v>612</v>
      </c>
    </row>
    <row r="4" spans="1:15" s="385" customFormat="1" x14ac:dyDescent="0.3">
      <c r="A4" s="1643" t="s">
        <v>0</v>
      </c>
      <c r="B4" s="444" t="s">
        <v>815</v>
      </c>
      <c r="C4" s="444" t="s">
        <v>68</v>
      </c>
      <c r="D4" s="3464" t="s">
        <v>904</v>
      </c>
      <c r="E4" s="3449" t="s">
        <v>28</v>
      </c>
      <c r="F4" s="3448"/>
      <c r="G4" s="1640" t="s">
        <v>64</v>
      </c>
      <c r="H4" s="493" t="s">
        <v>34</v>
      </c>
      <c r="I4" s="444" t="s">
        <v>62</v>
      </c>
      <c r="J4" s="444" t="s">
        <v>71</v>
      </c>
      <c r="K4" s="444" t="s">
        <v>71</v>
      </c>
      <c r="L4" s="445" t="s">
        <v>73</v>
      </c>
      <c r="M4" s="3445"/>
    </row>
    <row r="5" spans="1:15" s="385" customFormat="1" ht="24.75" customHeight="1" x14ac:dyDescent="0.3">
      <c r="A5" s="1644"/>
      <c r="B5" s="444"/>
      <c r="C5" s="444" t="s">
        <v>111</v>
      </c>
      <c r="D5" s="3465"/>
      <c r="E5" s="3450"/>
      <c r="F5" s="518"/>
      <c r="G5" s="1641"/>
      <c r="H5" s="493"/>
      <c r="I5" s="444"/>
      <c r="J5" s="3452" t="s">
        <v>64</v>
      </c>
      <c r="K5" s="444" t="s">
        <v>72</v>
      </c>
      <c r="L5" s="445" t="s">
        <v>62</v>
      </c>
      <c r="M5" s="3445"/>
      <c r="N5" s="2242"/>
    </row>
    <row r="6" spans="1:15" s="385" customFormat="1" ht="13.5" customHeight="1" x14ac:dyDescent="0.3">
      <c r="A6" s="1645"/>
      <c r="B6" s="446"/>
      <c r="C6" s="446"/>
      <c r="D6" s="517"/>
      <c r="E6" s="3451"/>
      <c r="F6" s="447"/>
      <c r="G6" s="1642"/>
      <c r="H6" s="483"/>
      <c r="I6" s="446"/>
      <c r="J6" s="3453"/>
      <c r="K6" s="446"/>
      <c r="L6" s="1808"/>
      <c r="M6" s="3446"/>
    </row>
    <row r="7" spans="1:15" s="385" customFormat="1" ht="20.100000000000001" customHeight="1" x14ac:dyDescent="0.3">
      <c r="A7" s="2312" t="s">
        <v>854</v>
      </c>
      <c r="B7" s="2683">
        <f>+B8+B11</f>
        <v>55091900</v>
      </c>
      <c r="C7" s="2683">
        <f>+C8+C11</f>
        <v>1136120</v>
      </c>
      <c r="D7" s="2683">
        <f t="shared" ref="D7:M7" si="0">+D8+D11</f>
        <v>0</v>
      </c>
      <c r="E7" s="2750">
        <f t="shared" si="0"/>
        <v>1136120</v>
      </c>
      <c r="F7" s="2752">
        <f>+F8+F11</f>
        <v>53955780</v>
      </c>
      <c r="G7" s="2751">
        <f t="shared" si="0"/>
        <v>128865</v>
      </c>
      <c r="H7" s="2683">
        <f t="shared" si="0"/>
        <v>128865</v>
      </c>
      <c r="I7" s="2683">
        <f t="shared" si="0"/>
        <v>0</v>
      </c>
      <c r="J7" s="2683">
        <f t="shared" si="0"/>
        <v>0</v>
      </c>
      <c r="K7" s="2754">
        <f t="shared" si="0"/>
        <v>0.36990099805670296</v>
      </c>
      <c r="L7" s="2754">
        <f t="shared" si="0"/>
        <v>3.442544274836715</v>
      </c>
      <c r="M7" s="2753">
        <f t="shared" si="0"/>
        <v>53826915</v>
      </c>
      <c r="N7" s="2669"/>
      <c r="O7" s="406">
        <f>61641600-3416400-3133300</f>
        <v>55091900</v>
      </c>
    </row>
    <row r="8" spans="1:15" ht="20.100000000000001" customHeight="1" x14ac:dyDescent="0.3">
      <c r="A8" s="2240" t="s">
        <v>855</v>
      </c>
      <c r="B8" s="2684">
        <f>+B9+B10</f>
        <v>20254200</v>
      </c>
      <c r="C8" s="2684">
        <f t="shared" ref="C8:E8" si="1">+C9+C10</f>
        <v>1136120</v>
      </c>
      <c r="D8" s="2684">
        <f t="shared" si="1"/>
        <v>0</v>
      </c>
      <c r="E8" s="2746">
        <f t="shared" si="1"/>
        <v>1136120</v>
      </c>
      <c r="F8" s="2747">
        <f t="shared" ref="F8" si="2">+F9+F10</f>
        <v>19118080</v>
      </c>
      <c r="G8" s="2745">
        <f t="shared" ref="G8" si="3">+G9+G10</f>
        <v>0</v>
      </c>
      <c r="H8" s="2684">
        <f t="shared" ref="H8" si="4">+H9+H10</f>
        <v>0</v>
      </c>
      <c r="I8" s="2684">
        <f t="shared" ref="I8" si="5">+I9+I10</f>
        <v>0</v>
      </c>
      <c r="J8" s="2684">
        <f t="shared" ref="J8" si="6">+J9+J10</f>
        <v>0</v>
      </c>
      <c r="K8" s="2749">
        <f t="shared" ref="K8" si="7">+K9+K10</f>
        <v>0</v>
      </c>
      <c r="L8" s="2749">
        <f t="shared" ref="L8" si="8">+L9+L10</f>
        <v>3.442544274836715</v>
      </c>
      <c r="M8" s="2748">
        <f>+M9+M10</f>
        <v>19118080</v>
      </c>
      <c r="O8" s="406">
        <f>+F8+F11</f>
        <v>53955780</v>
      </c>
    </row>
    <row r="9" spans="1:15" ht="20.100000000000001" customHeight="1" x14ac:dyDescent="0.3">
      <c r="A9" s="2373" t="s">
        <v>856</v>
      </c>
      <c r="B9" s="937">
        <f>61641600-B10-B11-3416400-3133300</f>
        <v>12266336</v>
      </c>
      <c r="C9" s="937">
        <f>537920+598200</f>
        <v>1136120</v>
      </c>
      <c r="D9" s="2374"/>
      <c r="E9" s="2375">
        <f>C9+D9</f>
        <v>1136120</v>
      </c>
      <c r="F9" s="2376">
        <f t="shared" ref="F9:F20" si="9">B9-E9</f>
        <v>11130216</v>
      </c>
      <c r="G9" s="2377">
        <f>H9+I9</f>
        <v>-974000</v>
      </c>
      <c r="H9" s="2729">
        <f>'4 สรุปตามการจัดสรร 2+3'!E38-H10</f>
        <v>0</v>
      </c>
      <c r="I9" s="2730">
        <f>'4 สรุปตามการจัดสรร 2+3'!F38-I10</f>
        <v>-974000</v>
      </c>
      <c r="J9" s="2379"/>
      <c r="K9" s="2379">
        <f>H9*100/F9</f>
        <v>0</v>
      </c>
      <c r="L9" s="2380">
        <f>I9*100/F9</f>
        <v>-8.7509532609250353</v>
      </c>
      <c r="M9" s="2381">
        <f>F9-G9</f>
        <v>12104216</v>
      </c>
      <c r="O9" s="406"/>
    </row>
    <row r="10" spans="1:15" ht="20.100000000000001" customHeight="1" x14ac:dyDescent="0.3">
      <c r="A10" s="2373" t="s">
        <v>905</v>
      </c>
      <c r="B10" s="937">
        <f>1476000+1467000+922200+4122664</f>
        <v>7987864</v>
      </c>
      <c r="C10" s="937"/>
      <c r="D10" s="2374"/>
      <c r="E10" s="2673">
        <f>C10+D10</f>
        <v>0</v>
      </c>
      <c r="F10" s="2674">
        <f t="shared" si="9"/>
        <v>7987864</v>
      </c>
      <c r="G10" s="2675">
        <f>H10+I10</f>
        <v>974000</v>
      </c>
      <c r="H10" s="937">
        <f>'4 สรุปตามการจัดสรร 2+3'!E12</f>
        <v>0</v>
      </c>
      <c r="I10" s="2378">
        <f>'4 สรุปตามการจัดสรร 2+3'!F12</f>
        <v>974000</v>
      </c>
      <c r="J10" s="2379"/>
      <c r="K10" s="2379">
        <f>H10*100/F10</f>
        <v>0</v>
      </c>
      <c r="L10" s="2380">
        <f>I10*100/F10</f>
        <v>12.19349753576175</v>
      </c>
      <c r="M10" s="2381">
        <f>F10-G10</f>
        <v>7013864</v>
      </c>
      <c r="O10" s="406"/>
    </row>
    <row r="11" spans="1:15" ht="20.100000000000001" customHeight="1" x14ac:dyDescent="0.3">
      <c r="A11" s="2240" t="s">
        <v>906</v>
      </c>
      <c r="B11" s="2243">
        <f>SUM(B12:B16)</f>
        <v>34837700</v>
      </c>
      <c r="C11" s="2243"/>
      <c r="D11" s="2243"/>
      <c r="E11" s="2243">
        <f>C11+D11</f>
        <v>0</v>
      </c>
      <c r="F11" s="2245">
        <f t="shared" si="9"/>
        <v>34837700</v>
      </c>
      <c r="G11" s="2246">
        <f t="shared" ref="G11:G23" si="10">H11+I11</f>
        <v>128865</v>
      </c>
      <c r="H11" s="2247">
        <f>SUM(H12:H16)</f>
        <v>128865</v>
      </c>
      <c r="I11" s="2247">
        <f>SUM(I12:I16)</f>
        <v>0</v>
      </c>
      <c r="J11" s="2248"/>
      <c r="K11" s="2248">
        <f>H11*100/F11</f>
        <v>0.36990099805670296</v>
      </c>
      <c r="L11" s="2249">
        <f>I11*100/F11</f>
        <v>0</v>
      </c>
      <c r="M11" s="2241">
        <f t="shared" ref="M11:M20" si="11">F11-G11</f>
        <v>34708835</v>
      </c>
      <c r="O11" s="406"/>
    </row>
    <row r="12" spans="1:15" s="673" customFormat="1" ht="17.25" customHeight="1" x14ac:dyDescent="0.5">
      <c r="A12" s="2708" t="s">
        <v>933</v>
      </c>
      <c r="B12" s="2284">
        <f>18500*3</f>
        <v>55500</v>
      </c>
      <c r="C12" s="2284"/>
      <c r="D12" s="2284"/>
      <c r="E12" s="2284">
        <f>SUM(C12:D12)</f>
        <v>0</v>
      </c>
      <c r="F12" s="2371">
        <f t="shared" si="9"/>
        <v>55500</v>
      </c>
      <c r="G12" s="2372">
        <f t="shared" si="10"/>
        <v>52965</v>
      </c>
      <c r="H12" s="2284">
        <f>'[23]4. ครุภัณฑ์แผนงานพื้นฐาน'!$E$3</f>
        <v>52965</v>
      </c>
      <c r="I12" s="2345">
        <f>'[23]4. ครุภัณฑ์แผนงานพื้นฐาน'!$F$3</f>
        <v>0</v>
      </c>
      <c r="J12" s="2285"/>
      <c r="K12" s="2285">
        <f t="shared" ref="K12:K20" si="12">H12*100/F12</f>
        <v>95.432432432432435</v>
      </c>
      <c r="L12" s="2286">
        <f t="shared" ref="L12:L20" si="13">I12*100/F12</f>
        <v>0</v>
      </c>
      <c r="M12" s="2287">
        <f t="shared" si="11"/>
        <v>2535</v>
      </c>
      <c r="O12" s="2347"/>
    </row>
    <row r="13" spans="1:15" s="673" customFormat="1" ht="17.25" customHeight="1" x14ac:dyDescent="0.5">
      <c r="A13" s="2708" t="s">
        <v>934</v>
      </c>
      <c r="B13" s="2284">
        <f>+(21*4000)+(2*5900)</f>
        <v>95800</v>
      </c>
      <c r="C13" s="2284"/>
      <c r="D13" s="2284"/>
      <c r="E13" s="2370">
        <f>SUM(C13:D13)</f>
        <v>0</v>
      </c>
      <c r="F13" s="2676">
        <f t="shared" si="9"/>
        <v>95800</v>
      </c>
      <c r="G13" s="2710">
        <f t="shared" si="10"/>
        <v>75900</v>
      </c>
      <c r="H13" s="2345">
        <f>'[23]4. ครุภัณฑ์แผนงานพื้นฐาน'!$L$3</f>
        <v>75900</v>
      </c>
      <c r="I13" s="2345">
        <f>'[23]4. ครุภัณฑ์แผนงานพื้นฐาน'!$M$3</f>
        <v>0</v>
      </c>
      <c r="J13" s="2285"/>
      <c r="K13" s="2285">
        <f t="shared" si="12"/>
        <v>79.22755741127348</v>
      </c>
      <c r="L13" s="2286">
        <f t="shared" si="13"/>
        <v>0</v>
      </c>
      <c r="M13" s="2287">
        <f t="shared" si="11"/>
        <v>19900</v>
      </c>
      <c r="O13" s="2347"/>
    </row>
    <row r="14" spans="1:15" s="673" customFormat="1" ht="33.75" customHeight="1" x14ac:dyDescent="0.5">
      <c r="A14" s="2709" t="s">
        <v>919</v>
      </c>
      <c r="B14" s="2284">
        <v>11573900</v>
      </c>
      <c r="C14" s="2284"/>
      <c r="D14" s="2284"/>
      <c r="E14" s="2370">
        <f>SUM(C14:D14)</f>
        <v>0</v>
      </c>
      <c r="F14" s="2676">
        <f t="shared" si="9"/>
        <v>11573900</v>
      </c>
      <c r="G14" s="2711">
        <f>H14+I14</f>
        <v>0</v>
      </c>
      <c r="H14" s="2712">
        <f>'17.ซื้อคอมทดแทน'!K5</f>
        <v>0</v>
      </c>
      <c r="I14" s="2713">
        <f>'17.ซื้อคอมทดแทน'!L5</f>
        <v>0</v>
      </c>
      <c r="J14" s="2714"/>
      <c r="K14" s="2714">
        <f t="shared" si="12"/>
        <v>0</v>
      </c>
      <c r="L14" s="2715">
        <f t="shared" si="13"/>
        <v>0</v>
      </c>
      <c r="M14" s="2716">
        <f t="shared" si="11"/>
        <v>11573900</v>
      </c>
      <c r="O14" s="2347"/>
    </row>
    <row r="15" spans="1:15" s="673" customFormat="1" ht="28.5" customHeight="1" x14ac:dyDescent="0.5">
      <c r="A15" s="2709" t="s">
        <v>920</v>
      </c>
      <c r="B15" s="2284">
        <v>237000</v>
      </c>
      <c r="C15" s="2284"/>
      <c r="D15" s="2284"/>
      <c r="E15" s="2370">
        <f>SUM(C15:D15)</f>
        <v>0</v>
      </c>
      <c r="F15" s="2676">
        <f t="shared" si="9"/>
        <v>237000</v>
      </c>
      <c r="G15" s="2372">
        <f t="shared" si="10"/>
        <v>0</v>
      </c>
      <c r="H15" s="2284">
        <f>'19.จัดหาคอมและซอฟท์แวร์'!K5</f>
        <v>0</v>
      </c>
      <c r="I15" s="2345">
        <f>'19.จัดหาคอมและซอฟท์แวร์'!L5</f>
        <v>0</v>
      </c>
      <c r="J15" s="2285"/>
      <c r="K15" s="2285">
        <f t="shared" si="12"/>
        <v>0</v>
      </c>
      <c r="L15" s="2286">
        <f t="shared" si="13"/>
        <v>0</v>
      </c>
      <c r="M15" s="2287">
        <f t="shared" si="11"/>
        <v>237000</v>
      </c>
      <c r="O15" s="2347"/>
    </row>
    <row r="16" spans="1:15" s="673" customFormat="1" ht="30.75" customHeight="1" x14ac:dyDescent="0.5">
      <c r="A16" s="2709" t="s">
        <v>939</v>
      </c>
      <c r="B16" s="2284">
        <v>22875500</v>
      </c>
      <c r="C16" s="2284"/>
      <c r="D16" s="2284"/>
      <c r="E16" s="2370">
        <f>SUM(C16:D16)</f>
        <v>0</v>
      </c>
      <c r="F16" s="2676">
        <f t="shared" si="9"/>
        <v>22875500</v>
      </c>
      <c r="G16" s="2372">
        <f t="shared" si="10"/>
        <v>0</v>
      </c>
      <c r="H16" s="2284">
        <f>'20.ซื้อคอมทดแทนระบบเครือข่าย'!K5</f>
        <v>0</v>
      </c>
      <c r="I16" s="2345">
        <f>'20.ซื้อคอมทดแทนระบบเครือข่าย'!L5</f>
        <v>0</v>
      </c>
      <c r="J16" s="2285"/>
      <c r="K16" s="2285">
        <f t="shared" si="12"/>
        <v>0</v>
      </c>
      <c r="L16" s="2286">
        <f t="shared" si="13"/>
        <v>0</v>
      </c>
      <c r="M16" s="2287">
        <f t="shared" si="11"/>
        <v>22875500</v>
      </c>
      <c r="O16" s="2347"/>
    </row>
    <row r="17" spans="1:15" ht="15.75" customHeight="1" x14ac:dyDescent="0.3">
      <c r="A17" s="2314" t="s">
        <v>608</v>
      </c>
      <c r="B17" s="2254">
        <f>B18+B36</f>
        <v>42332000</v>
      </c>
      <c r="C17" s="2254">
        <f>C18+C36</f>
        <v>22711605</v>
      </c>
      <c r="D17" s="2254">
        <f>D18</f>
        <v>120000</v>
      </c>
      <c r="E17" s="2255">
        <f>C17+D17</f>
        <v>22831605</v>
      </c>
      <c r="F17" s="2256">
        <f t="shared" si="9"/>
        <v>19500395</v>
      </c>
      <c r="G17" s="2257">
        <f t="shared" si="10"/>
        <v>1953782.32</v>
      </c>
      <c r="H17" s="2258">
        <f>H18+H36</f>
        <v>970155.02</v>
      </c>
      <c r="I17" s="2258">
        <f>I18+I36</f>
        <v>983627.3</v>
      </c>
      <c r="J17" s="2259"/>
      <c r="K17" s="2259">
        <f t="shared" si="12"/>
        <v>4.975053171999849</v>
      </c>
      <c r="L17" s="2260">
        <f t="shared" si="13"/>
        <v>5.0441403879254754</v>
      </c>
      <c r="M17" s="2230">
        <f t="shared" si="11"/>
        <v>17546612.68</v>
      </c>
      <c r="O17" s="406"/>
    </row>
    <row r="18" spans="1:15" ht="20.100000000000001" customHeight="1" x14ac:dyDescent="0.3">
      <c r="A18" s="2685" t="s">
        <v>861</v>
      </c>
      <c r="B18" s="2243">
        <f>B19+B33</f>
        <v>29459800</v>
      </c>
      <c r="C18" s="2243">
        <f>C19</f>
        <v>22711605</v>
      </c>
      <c r="D18" s="2243">
        <f>D19+D33</f>
        <v>120000</v>
      </c>
      <c r="E18" s="2244">
        <f>C18+D18</f>
        <v>22831605</v>
      </c>
      <c r="F18" s="2261">
        <f t="shared" si="9"/>
        <v>6628195</v>
      </c>
      <c r="G18" s="2246">
        <f t="shared" si="10"/>
        <v>1494987.3</v>
      </c>
      <c r="H18" s="2247">
        <f>H19+H33</f>
        <v>511360</v>
      </c>
      <c r="I18" s="2247">
        <f>I19+I33</f>
        <v>983627.3</v>
      </c>
      <c r="J18" s="2248"/>
      <c r="K18" s="2248">
        <f t="shared" si="12"/>
        <v>7.7149208796663347</v>
      </c>
      <c r="L18" s="2249">
        <f t="shared" si="13"/>
        <v>14.840047705295333</v>
      </c>
      <c r="M18" s="2241">
        <f t="shared" si="11"/>
        <v>5133207.7</v>
      </c>
      <c r="O18" s="406"/>
    </row>
    <row r="19" spans="1:15" s="673" customFormat="1" ht="22.5" customHeight="1" x14ac:dyDescent="0.5">
      <c r="A19" s="2708" t="s">
        <v>862</v>
      </c>
      <c r="B19" s="2284">
        <f>B20+B23+B24+B27+B28+B29</f>
        <v>27159800</v>
      </c>
      <c r="C19" s="2284">
        <f>C20+C23+C24+C27+C28+C29</f>
        <v>22711605</v>
      </c>
      <c r="D19" s="2284">
        <f>D20+D23+D24+D27+D28+D29</f>
        <v>120000</v>
      </c>
      <c r="E19" s="2287">
        <f>C19+D19</f>
        <v>22831605</v>
      </c>
      <c r="F19" s="2345">
        <f t="shared" si="9"/>
        <v>4328195</v>
      </c>
      <c r="G19" s="2346">
        <f t="shared" si="10"/>
        <v>1446767.3</v>
      </c>
      <c r="H19" s="2345">
        <f>H20+H23+H24+H27+H28+H29</f>
        <v>511360</v>
      </c>
      <c r="I19" s="2345">
        <f>I20+I23+I24+I27+I28+I29</f>
        <v>935407.3</v>
      </c>
      <c r="J19" s="2285"/>
      <c r="K19" s="2285">
        <f t="shared" si="12"/>
        <v>11.814624803180079</v>
      </c>
      <c r="L19" s="2286">
        <f t="shared" si="13"/>
        <v>21.611949091942485</v>
      </c>
      <c r="M19" s="2287">
        <f t="shared" si="11"/>
        <v>2881427.7</v>
      </c>
      <c r="O19" s="2347"/>
    </row>
    <row r="20" spans="1:15" s="2299" customFormat="1" ht="20.100000000000001" customHeight="1" x14ac:dyDescent="0.3">
      <c r="A20" s="2315" t="s">
        <v>926</v>
      </c>
      <c r="B20" s="2289">
        <v>4000000</v>
      </c>
      <c r="C20" s="2289">
        <v>3448770</v>
      </c>
      <c r="D20" s="2290"/>
      <c r="E20" s="2291">
        <f>C20+D20</f>
        <v>3448770</v>
      </c>
      <c r="F20" s="2292">
        <f t="shared" si="9"/>
        <v>551230</v>
      </c>
      <c r="G20" s="2293">
        <f t="shared" si="10"/>
        <v>193643.3</v>
      </c>
      <c r="H20" s="2294">
        <f>+'4.ต้นทุน'!K5</f>
        <v>47980</v>
      </c>
      <c r="I20" s="2295">
        <f>+'4.ต้นทุน'!L5</f>
        <v>145663.29999999999</v>
      </c>
      <c r="J20" s="2296"/>
      <c r="K20" s="2296">
        <f t="shared" si="12"/>
        <v>8.7041706728588792</v>
      </c>
      <c r="L20" s="2297">
        <f t="shared" si="13"/>
        <v>26.425140141138904</v>
      </c>
      <c r="M20" s="2298">
        <f t="shared" si="11"/>
        <v>357586.7</v>
      </c>
    </row>
    <row r="21" spans="1:15" ht="20.100000000000001" customHeight="1" x14ac:dyDescent="0.3">
      <c r="A21" s="2288" t="s">
        <v>3</v>
      </c>
      <c r="B21" s="372"/>
      <c r="C21" s="372"/>
      <c r="D21" s="399"/>
      <c r="E21" s="396"/>
      <c r="F21" s="2728">
        <f>250395+5</f>
        <v>250400</v>
      </c>
      <c r="G21" s="1741">
        <f t="shared" si="10"/>
        <v>12040</v>
      </c>
      <c r="H21" s="485">
        <f>'4.ต้นทุน'!F39</f>
        <v>0</v>
      </c>
      <c r="I21" s="400">
        <f>'4.ต้นทุน'!G39</f>
        <v>12040</v>
      </c>
      <c r="J21" s="388"/>
      <c r="K21" s="2300">
        <f t="shared" ref="K21:K26" si="14">H21*100/F21</f>
        <v>0</v>
      </c>
      <c r="L21" s="2363">
        <f t="shared" ref="L21:L26" si="15">I21*100/F21</f>
        <v>4.8083067092651754</v>
      </c>
      <c r="M21" s="2231">
        <f t="shared" ref="M21:M26" si="16">F21-G21</f>
        <v>238360</v>
      </c>
    </row>
    <row r="22" spans="1:15" ht="20.100000000000001" customHeight="1" x14ac:dyDescent="0.3">
      <c r="A22" s="2288" t="s">
        <v>20</v>
      </c>
      <c r="B22" s="372"/>
      <c r="C22" s="372"/>
      <c r="D22" s="399"/>
      <c r="E22" s="396"/>
      <c r="F22" s="2728">
        <f>300835-5</f>
        <v>300830</v>
      </c>
      <c r="G22" s="1741">
        <f t="shared" si="10"/>
        <v>181603.3</v>
      </c>
      <c r="H22" s="485">
        <f>'4.ต้นทุน'!F113</f>
        <v>47980</v>
      </c>
      <c r="I22" s="400">
        <f>'4.ต้นทุน'!G113</f>
        <v>133623.29999999999</v>
      </c>
      <c r="J22" s="2300"/>
      <c r="K22" s="2744">
        <f t="shared" si="14"/>
        <v>15.949207193431507</v>
      </c>
      <c r="L22" s="2363">
        <f t="shared" si="15"/>
        <v>44.418209620051186</v>
      </c>
      <c r="M22" s="2231">
        <f t="shared" si="16"/>
        <v>119226.70000000001</v>
      </c>
    </row>
    <row r="23" spans="1:15" s="2299" customFormat="1" ht="20.100000000000001" customHeight="1" x14ac:dyDescent="0.3">
      <c r="A23" s="2315" t="s">
        <v>925</v>
      </c>
      <c r="B23" s="2289">
        <v>1500000</v>
      </c>
      <c r="C23" s="2289">
        <v>1111785</v>
      </c>
      <c r="D23" s="2290"/>
      <c r="E23" s="2291">
        <f>C23+D23</f>
        <v>1111785</v>
      </c>
      <c r="F23" s="2302">
        <f>B23-E23</f>
        <v>388215</v>
      </c>
      <c r="G23" s="2293">
        <f t="shared" si="10"/>
        <v>341986</v>
      </c>
      <c r="H23" s="2294">
        <f>+'5.Crop Cutiing'!K5</f>
        <v>30600</v>
      </c>
      <c r="I23" s="2295">
        <f>+'5.Crop Cutiing'!L5</f>
        <v>311386</v>
      </c>
      <c r="J23" s="2296"/>
      <c r="K23" s="2296">
        <f t="shared" si="14"/>
        <v>7.882230207488119</v>
      </c>
      <c r="L23" s="2297">
        <f t="shared" si="15"/>
        <v>80.209677627088084</v>
      </c>
      <c r="M23" s="2231">
        <f t="shared" si="16"/>
        <v>46229</v>
      </c>
    </row>
    <row r="24" spans="1:15" s="2309" customFormat="1" ht="21" customHeight="1" x14ac:dyDescent="0.5">
      <c r="A24" s="2316" t="s">
        <v>923</v>
      </c>
      <c r="B24" s="2351">
        <v>4000000</v>
      </c>
      <c r="C24" s="2351">
        <v>3805770</v>
      </c>
      <c r="D24" s="2304"/>
      <c r="E24" s="2305">
        <f>C24+D24</f>
        <v>3805770</v>
      </c>
      <c r="F24" s="2306">
        <f>B24-E24</f>
        <v>194230</v>
      </c>
      <c r="G24" s="2307">
        <f>I24</f>
        <v>291384</v>
      </c>
      <c r="H24" s="2303">
        <f>+'6.จัดทำข้อมูลปริมาณการผลิตพืชเศ'!K5</f>
        <v>69862</v>
      </c>
      <c r="I24" s="2303">
        <f>+'6.จัดทำข้อมูลปริมาณการผลิตพืชเศ'!L5</f>
        <v>291384</v>
      </c>
      <c r="J24" s="2348"/>
      <c r="K24" s="2348">
        <f t="shared" si="14"/>
        <v>35.968696905730319</v>
      </c>
      <c r="L24" s="2349">
        <f t="shared" si="15"/>
        <v>150.02007928744271</v>
      </c>
      <c r="M24" s="2350">
        <f t="shared" si="16"/>
        <v>-97154</v>
      </c>
    </row>
    <row r="25" spans="1:15" ht="20.100000000000001" customHeight="1" x14ac:dyDescent="0.3">
      <c r="A25" s="2288" t="s">
        <v>1</v>
      </c>
      <c r="B25" s="372"/>
      <c r="C25" s="372"/>
      <c r="D25" s="399"/>
      <c r="E25" s="396"/>
      <c r="F25" s="2232">
        <v>71180</v>
      </c>
      <c r="G25" s="1741">
        <f t="shared" ref="G25:G50" si="17">H25+I25</f>
        <v>108780</v>
      </c>
      <c r="H25" s="485">
        <f>+'6.จัดทำข้อมูลปริมาณการผลิตพืชเศ'!C39</f>
        <v>0</v>
      </c>
      <c r="I25" s="400">
        <f>+'6.จัดทำข้อมูลปริมาณการผลิตพืชเศ'!D39</f>
        <v>108780</v>
      </c>
      <c r="J25" s="388"/>
      <c r="K25" s="388">
        <f t="shared" si="14"/>
        <v>0</v>
      </c>
      <c r="L25" s="1809">
        <f t="shared" si="15"/>
        <v>152.8238269176735</v>
      </c>
      <c r="M25" s="2231">
        <f t="shared" si="16"/>
        <v>-37600</v>
      </c>
    </row>
    <row r="26" spans="1:15" ht="20.100000000000001" customHeight="1" x14ac:dyDescent="0.3">
      <c r="A26" s="2288" t="s">
        <v>2</v>
      </c>
      <c r="B26" s="372"/>
      <c r="C26" s="372"/>
      <c r="D26" s="399"/>
      <c r="E26" s="396"/>
      <c r="F26" s="2232">
        <v>123050</v>
      </c>
      <c r="G26" s="1741">
        <f t="shared" si="17"/>
        <v>252466</v>
      </c>
      <c r="H26" s="485">
        <f>'6.จัดทำข้อมูลปริมาณการผลิตพืชเศ'!F5</f>
        <v>69862</v>
      </c>
      <c r="I26" s="400">
        <f>'6.จัดทำข้อมูลปริมาณการผลิตพืชเศ'!G5</f>
        <v>182604</v>
      </c>
      <c r="J26" s="393"/>
      <c r="K26" s="393">
        <f t="shared" si="14"/>
        <v>56.775294595692806</v>
      </c>
      <c r="L26" s="2363">
        <f t="shared" si="15"/>
        <v>148.39821210889883</v>
      </c>
      <c r="M26" s="2231">
        <f t="shared" si="16"/>
        <v>-129416</v>
      </c>
    </row>
    <row r="27" spans="1:15" s="2309" customFormat="1" ht="20.100000000000001" customHeight="1" x14ac:dyDescent="0.3">
      <c r="A27" s="2732" t="s">
        <v>922</v>
      </c>
      <c r="B27" s="2303">
        <v>4000000</v>
      </c>
      <c r="C27" s="2303">
        <v>3545160</v>
      </c>
      <c r="D27" s="2304">
        <v>120000</v>
      </c>
      <c r="E27" s="2305">
        <f>C27+D27</f>
        <v>3665160</v>
      </c>
      <c r="F27" s="2306">
        <f t="shared" ref="F27:F42" si="18">B27-E27</f>
        <v>334840</v>
      </c>
      <c r="G27" s="2307">
        <f t="shared" si="17"/>
        <v>315892</v>
      </c>
      <c r="H27" s="2308">
        <f>+'7.ประมาณการและติดตามภาวะ'!K5</f>
        <v>206918</v>
      </c>
      <c r="I27" s="2303">
        <f>+'7.ประมาณการและติดตามภาวะ'!L5</f>
        <v>108974</v>
      </c>
      <c r="J27" s="2296"/>
      <c r="K27" s="2296">
        <f t="shared" ref="K27:K50" si="19">H27*100/F27</f>
        <v>61.796081710667785</v>
      </c>
      <c r="L27" s="2297">
        <f t="shared" ref="L27:L40" si="20">I27*100/F27</f>
        <v>32.545096165332694</v>
      </c>
      <c r="M27" s="2231">
        <f t="shared" ref="M27:M50" si="21">F27-G27</f>
        <v>18948</v>
      </c>
    </row>
    <row r="28" spans="1:15" s="2309" customFormat="1" ht="20.25" customHeight="1" x14ac:dyDescent="0.5">
      <c r="A28" s="2733" t="s">
        <v>924</v>
      </c>
      <c r="B28" s="2303">
        <v>8467200</v>
      </c>
      <c r="C28" s="2303">
        <v>7143940</v>
      </c>
      <c r="D28" s="2304"/>
      <c r="E28" s="2305">
        <f>C28+D28</f>
        <v>7143940</v>
      </c>
      <c r="F28" s="2306">
        <f t="shared" si="18"/>
        <v>1323260</v>
      </c>
      <c r="G28" s="2307">
        <f t="shared" si="17"/>
        <v>0</v>
      </c>
      <c r="H28" s="2308">
        <f>+'8.รายงานสถานการณ์โดย ศกอ.'!K5</f>
        <v>0</v>
      </c>
      <c r="I28" s="2303">
        <f>+'8.รายงานสถานการณ์โดย ศกอ.'!L5</f>
        <v>0</v>
      </c>
      <c r="J28" s="2348"/>
      <c r="K28" s="2348">
        <f t="shared" si="19"/>
        <v>0</v>
      </c>
      <c r="L28" s="2349">
        <f t="shared" si="20"/>
        <v>0</v>
      </c>
      <c r="M28" s="2350">
        <f t="shared" si="21"/>
        <v>1323260</v>
      </c>
    </row>
    <row r="29" spans="1:15" s="2309" customFormat="1" ht="20.25" customHeight="1" x14ac:dyDescent="0.5">
      <c r="A29" s="2316" t="s">
        <v>921</v>
      </c>
      <c r="B29" s="2303">
        <v>5192600</v>
      </c>
      <c r="C29" s="2303">
        <v>3656180</v>
      </c>
      <c r="D29" s="2304"/>
      <c r="E29" s="2305">
        <f>C29-D29</f>
        <v>3656180</v>
      </c>
      <c r="F29" s="2306">
        <f t="shared" si="18"/>
        <v>1536420</v>
      </c>
      <c r="G29" s="2307">
        <f t="shared" si="17"/>
        <v>234000</v>
      </c>
      <c r="H29" s="2308">
        <f>+'9. เกษตรปลอดภัย'!K5</f>
        <v>156000</v>
      </c>
      <c r="I29" s="2682">
        <f>+'9. เกษตรปลอดภัย'!L5</f>
        <v>78000</v>
      </c>
      <c r="J29" s="2348"/>
      <c r="K29" s="2348">
        <f t="shared" si="19"/>
        <v>10.153473659546218</v>
      </c>
      <c r="L29" s="2349">
        <f t="shared" si="20"/>
        <v>5.0767368297731092</v>
      </c>
      <c r="M29" s="2350">
        <f t="shared" si="21"/>
        <v>1302420</v>
      </c>
    </row>
    <row r="30" spans="1:15" s="2309" customFormat="1" ht="20.25" customHeight="1" x14ac:dyDescent="0.5">
      <c r="A30" s="2717" t="s">
        <v>2</v>
      </c>
      <c r="B30" s="2303"/>
      <c r="C30" s="2303"/>
      <c r="D30" s="2304"/>
      <c r="E30" s="2305"/>
      <c r="F30" s="2727">
        <v>763155</v>
      </c>
      <c r="G30" s="2307">
        <f>H30+I30</f>
        <v>0</v>
      </c>
      <c r="H30" s="2308">
        <f>'9. เกษตรปลอดภัย'!F5</f>
        <v>0</v>
      </c>
      <c r="I30" s="2682">
        <f>'9. เกษตรปลอดภัย'!G5</f>
        <v>0</v>
      </c>
      <c r="J30" s="2348"/>
      <c r="K30" s="2348">
        <f>H30*100/F30</f>
        <v>0</v>
      </c>
      <c r="L30" s="2349">
        <f>I30*100/F30</f>
        <v>0</v>
      </c>
      <c r="M30" s="2350">
        <f>F30-G30</f>
        <v>763155</v>
      </c>
    </row>
    <row r="31" spans="1:15" s="2309" customFormat="1" ht="20.25" customHeight="1" x14ac:dyDescent="0.5">
      <c r="A31" s="2717" t="s">
        <v>3</v>
      </c>
      <c r="B31" s="2303"/>
      <c r="C31" s="2303"/>
      <c r="D31" s="2304"/>
      <c r="E31" s="2305"/>
      <c r="F31" s="2727">
        <v>127910</v>
      </c>
      <c r="G31" s="2307">
        <f>H31+I31</f>
        <v>0</v>
      </c>
      <c r="H31" s="2308">
        <f>'9. เกษตรปลอดภัย'!F39</f>
        <v>0</v>
      </c>
      <c r="I31" s="2682">
        <f>'9. เกษตรปลอดภัย'!G39</f>
        <v>0</v>
      </c>
      <c r="J31" s="2348"/>
      <c r="K31" s="2348">
        <f>H31*100/F31</f>
        <v>0</v>
      </c>
      <c r="L31" s="2349">
        <f>I31*100/F31</f>
        <v>0</v>
      </c>
      <c r="M31" s="2350">
        <f>F31-G31</f>
        <v>127910</v>
      </c>
    </row>
    <row r="32" spans="1:15" s="2309" customFormat="1" ht="20.25" customHeight="1" x14ac:dyDescent="0.5">
      <c r="A32" s="2717" t="s">
        <v>1</v>
      </c>
      <c r="B32" s="2303"/>
      <c r="C32" s="2303"/>
      <c r="D32" s="2304"/>
      <c r="E32" s="2305"/>
      <c r="F32" s="2727">
        <v>645340</v>
      </c>
      <c r="G32" s="2307">
        <f>H32+I32</f>
        <v>0</v>
      </c>
      <c r="H32" s="2308">
        <f>'9. เกษตรปลอดภัย'!C39</f>
        <v>0</v>
      </c>
      <c r="I32" s="2682">
        <f>'9. เกษตรปลอดภัย'!D39</f>
        <v>0</v>
      </c>
      <c r="J32" s="2348"/>
      <c r="K32" s="2348">
        <f>H32*100/F32</f>
        <v>0</v>
      </c>
      <c r="L32" s="2349">
        <f>I32*100/F32</f>
        <v>0</v>
      </c>
      <c r="M32" s="2350">
        <f>F32-G32</f>
        <v>645340</v>
      </c>
    </row>
    <row r="33" spans="1:15" s="2309" customFormat="1" ht="20.100000000000001" customHeight="1" x14ac:dyDescent="0.5">
      <c r="A33" s="2352" t="s">
        <v>847</v>
      </c>
      <c r="B33" s="2353">
        <f>SUM(B34:B35)</f>
        <v>2300000</v>
      </c>
      <c r="C33" s="2353"/>
      <c r="D33" s="2354"/>
      <c r="E33" s="2355"/>
      <c r="F33" s="2356">
        <f t="shared" si="18"/>
        <v>2300000</v>
      </c>
      <c r="G33" s="2357">
        <f t="shared" si="17"/>
        <v>48220</v>
      </c>
      <c r="H33" s="2358">
        <f>H34+H35</f>
        <v>0</v>
      </c>
      <c r="I33" s="2359">
        <f>I34+I35</f>
        <v>48220</v>
      </c>
      <c r="J33" s="2360"/>
      <c r="K33" s="2360">
        <f t="shared" si="19"/>
        <v>0</v>
      </c>
      <c r="L33" s="2361">
        <f t="shared" si="20"/>
        <v>2.0965217391304347</v>
      </c>
      <c r="M33" s="2362">
        <f t="shared" si="21"/>
        <v>2251780</v>
      </c>
    </row>
    <row r="34" spans="1:15" ht="20.100000000000001" customHeight="1" x14ac:dyDescent="0.3">
      <c r="A34" s="1646" t="s">
        <v>928</v>
      </c>
      <c r="B34" s="372">
        <v>1500000</v>
      </c>
      <c r="C34" s="372" t="s">
        <v>914</v>
      </c>
      <c r="D34" s="399"/>
      <c r="E34" s="396"/>
      <c r="F34" s="2232">
        <f t="shared" si="18"/>
        <v>1500000</v>
      </c>
      <c r="G34" s="1741">
        <f t="shared" si="17"/>
        <v>19650</v>
      </c>
      <c r="H34" s="485">
        <f>+' 1.ประยุกต์ใช้เทคโนฯ'!K5</f>
        <v>0</v>
      </c>
      <c r="I34" s="400">
        <f>+' 1.ประยุกต์ใช้เทคโนฯ'!L5</f>
        <v>19650</v>
      </c>
      <c r="J34" s="393"/>
      <c r="K34" s="393">
        <f t="shared" si="19"/>
        <v>0</v>
      </c>
      <c r="L34" s="1809">
        <f t="shared" si="20"/>
        <v>1.31</v>
      </c>
      <c r="M34" s="2231">
        <f t="shared" si="21"/>
        <v>1480350</v>
      </c>
    </row>
    <row r="35" spans="1:15" ht="19.5" customHeight="1" x14ac:dyDescent="0.3">
      <c r="A35" s="1646" t="s">
        <v>927</v>
      </c>
      <c r="B35" s="372">
        <v>800000</v>
      </c>
      <c r="C35" s="372" t="s">
        <v>914</v>
      </c>
      <c r="D35" s="399"/>
      <c r="E35" s="396"/>
      <c r="F35" s="2232">
        <f t="shared" si="18"/>
        <v>800000</v>
      </c>
      <c r="G35" s="1741">
        <f t="shared" si="17"/>
        <v>28570</v>
      </c>
      <c r="H35" s="485">
        <f>+'2.บูรณาการฯ'!K5</f>
        <v>0</v>
      </c>
      <c r="I35" s="400">
        <f>+'2.บูรณาการฯ'!L5</f>
        <v>28570</v>
      </c>
      <c r="J35" s="393"/>
      <c r="K35" s="393">
        <f t="shared" si="19"/>
        <v>0</v>
      </c>
      <c r="L35" s="1809">
        <f t="shared" si="20"/>
        <v>3.57125</v>
      </c>
      <c r="M35" s="2231">
        <f t="shared" si="21"/>
        <v>771430</v>
      </c>
    </row>
    <row r="36" spans="1:15" s="385" customFormat="1" ht="21.75" customHeight="1" x14ac:dyDescent="0.3">
      <c r="A36" s="2685" t="s">
        <v>628</v>
      </c>
      <c r="B36" s="2686">
        <f>B37+B42</f>
        <v>12872200</v>
      </c>
      <c r="C36" s="2686"/>
      <c r="D36" s="2686"/>
      <c r="E36" s="2689"/>
      <c r="F36" s="2690">
        <f t="shared" si="18"/>
        <v>12872200</v>
      </c>
      <c r="G36" s="2691">
        <f t="shared" si="17"/>
        <v>458795.02</v>
      </c>
      <c r="H36" s="2692">
        <f>H37+H42</f>
        <v>458795.02</v>
      </c>
      <c r="I36" s="2693">
        <f>I37+I42</f>
        <v>0</v>
      </c>
      <c r="J36" s="2687"/>
      <c r="K36" s="2687">
        <f t="shared" si="19"/>
        <v>3.5642315998819161</v>
      </c>
      <c r="L36" s="2688">
        <f t="shared" si="20"/>
        <v>0</v>
      </c>
      <c r="M36" s="2689">
        <f t="shared" si="21"/>
        <v>12413404.98</v>
      </c>
    </row>
    <row r="37" spans="1:15" s="385" customFormat="1" x14ac:dyDescent="0.3">
      <c r="A37" s="2696" t="s">
        <v>907</v>
      </c>
      <c r="B37" s="2697">
        <f>B38+B41</f>
        <v>3851300</v>
      </c>
      <c r="C37" s="937"/>
      <c r="D37" s="2698"/>
      <c r="E37" s="2381"/>
      <c r="F37" s="2674">
        <f t="shared" si="18"/>
        <v>3851300</v>
      </c>
      <c r="G37" s="2377">
        <f t="shared" si="17"/>
        <v>108795.02</v>
      </c>
      <c r="H37" s="2699">
        <f>H38+H41</f>
        <v>108795.02</v>
      </c>
      <c r="I37" s="2700">
        <f>I38+I41</f>
        <v>0</v>
      </c>
      <c r="J37" s="2379"/>
      <c r="K37" s="2379">
        <f t="shared" si="19"/>
        <v>2.8248908160880744</v>
      </c>
      <c r="L37" s="2380">
        <f t="shared" si="20"/>
        <v>0</v>
      </c>
      <c r="M37" s="2381">
        <f t="shared" si="21"/>
        <v>3742504.98</v>
      </c>
    </row>
    <row r="38" spans="1:15" x14ac:dyDescent="0.3">
      <c r="A38" s="2315" t="s">
        <v>929</v>
      </c>
      <c r="B38" s="526">
        <f>SUM(B39:B40)</f>
        <v>3736800</v>
      </c>
      <c r="C38" s="526"/>
      <c r="D38" s="2701"/>
      <c r="E38" s="396"/>
      <c r="F38" s="1740">
        <f t="shared" si="18"/>
        <v>3736800</v>
      </c>
      <c r="G38" s="2702">
        <f t="shared" si="17"/>
        <v>0</v>
      </c>
      <c r="H38" s="2703">
        <f>SUM(H39:H40)</f>
        <v>0</v>
      </c>
      <c r="I38" s="2704">
        <f>SUM(I39:I40)</f>
        <v>0</v>
      </c>
      <c r="J38" s="2252"/>
      <c r="K38" s="2252">
        <f t="shared" si="19"/>
        <v>0</v>
      </c>
      <c r="L38" s="2253">
        <f t="shared" si="20"/>
        <v>0</v>
      </c>
      <c r="M38" s="2231">
        <f t="shared" si="21"/>
        <v>3736800</v>
      </c>
    </row>
    <row r="39" spans="1:15" x14ac:dyDescent="0.3">
      <c r="A39" s="2726" t="s">
        <v>908</v>
      </c>
      <c r="B39" s="372">
        <v>1186800</v>
      </c>
      <c r="C39" s="526" t="s">
        <v>914</v>
      </c>
      <c r="D39" s="2701"/>
      <c r="E39" s="396">
        <f>SUM(C39:D39)</f>
        <v>0</v>
      </c>
      <c r="F39" s="1740">
        <f t="shared" si="18"/>
        <v>1186800</v>
      </c>
      <c r="G39" s="2702">
        <f t="shared" si="17"/>
        <v>0</v>
      </c>
      <c r="H39" s="2703">
        <f>'[24]16.โครงการ (งบลงทุน)'!$E$4</f>
        <v>0</v>
      </c>
      <c r="I39" s="2704">
        <f>'[24]16.โครงการ (งบลงทุน)'!$F$4</f>
        <v>0</v>
      </c>
      <c r="J39" s="2252"/>
      <c r="K39" s="2252">
        <f t="shared" si="19"/>
        <v>0</v>
      </c>
      <c r="L39" s="2253">
        <f t="shared" si="20"/>
        <v>0</v>
      </c>
      <c r="M39" s="2231">
        <f t="shared" si="21"/>
        <v>1186800</v>
      </c>
    </row>
    <row r="40" spans="1:15" x14ac:dyDescent="0.3">
      <c r="A40" s="2726" t="s">
        <v>909</v>
      </c>
      <c r="B40" s="372">
        <v>2550000</v>
      </c>
      <c r="C40" s="526" t="s">
        <v>914</v>
      </c>
      <c r="D40" s="2701"/>
      <c r="E40" s="396">
        <f>SUM(C40:D40)</f>
        <v>0</v>
      </c>
      <c r="F40" s="1740">
        <f t="shared" si="18"/>
        <v>2550000</v>
      </c>
      <c r="G40" s="2702">
        <f t="shared" si="17"/>
        <v>0</v>
      </c>
      <c r="H40" s="2703">
        <f>'[24]16.โครงการ (งบลงทุน)'!$E$37</f>
        <v>0</v>
      </c>
      <c r="I40" s="2704">
        <f>'[24]16.โครงการ (งบลงทุน)'!$F$37</f>
        <v>0</v>
      </c>
      <c r="J40" s="2252"/>
      <c r="K40" s="2252">
        <f t="shared" si="19"/>
        <v>0</v>
      </c>
      <c r="L40" s="2253">
        <f t="shared" si="20"/>
        <v>0</v>
      </c>
      <c r="M40" s="2231">
        <f t="shared" si="21"/>
        <v>2550000</v>
      </c>
    </row>
    <row r="41" spans="1:15" s="673" customFormat="1" ht="34.5" x14ac:dyDescent="0.5">
      <c r="A41" s="2316" t="s">
        <v>930</v>
      </c>
      <c r="B41" s="2734">
        <v>114500</v>
      </c>
      <c r="C41" s="2734" t="s">
        <v>914</v>
      </c>
      <c r="D41" s="2735"/>
      <c r="E41" s="2736">
        <f>SUM(C41:D41)</f>
        <v>0</v>
      </c>
      <c r="F41" s="2737">
        <f t="shared" si="18"/>
        <v>114500</v>
      </c>
      <c r="G41" s="951">
        <f t="shared" si="17"/>
        <v>108795.02</v>
      </c>
      <c r="H41" s="953">
        <f>'[24]16.โครงการ (งบลงทุน)'!$L$4</f>
        <v>108795.02</v>
      </c>
      <c r="I41" s="2738">
        <f>'[24]16.โครงการ (งบลงทุน)'!$M$4</f>
        <v>0</v>
      </c>
      <c r="J41" s="2739"/>
      <c r="K41" s="2739">
        <f t="shared" si="19"/>
        <v>95.017484716157199</v>
      </c>
      <c r="L41" s="652">
        <f>-I41*100/F41</f>
        <v>0</v>
      </c>
      <c r="M41" s="2350">
        <f t="shared" si="21"/>
        <v>5704.9799999999959</v>
      </c>
    </row>
    <row r="42" spans="1:15" s="385" customFormat="1" x14ac:dyDescent="0.3">
      <c r="A42" s="2373" t="s">
        <v>910</v>
      </c>
      <c r="B42" s="2697">
        <f>SUM(B43:B44)</f>
        <v>9020900</v>
      </c>
      <c r="C42" s="937"/>
      <c r="D42" s="2677"/>
      <c r="E42" s="2375"/>
      <c r="F42" s="2376">
        <f t="shared" si="18"/>
        <v>9020900</v>
      </c>
      <c r="G42" s="2679">
        <f t="shared" si="17"/>
        <v>350000</v>
      </c>
      <c r="H42" s="2680">
        <f>SUM(H43:H44)</f>
        <v>350000</v>
      </c>
      <c r="I42" s="2681">
        <f>SUM(I43:I44)</f>
        <v>0</v>
      </c>
      <c r="J42" s="2379"/>
      <c r="K42" s="2379">
        <f t="shared" si="19"/>
        <v>3.8798789477768292</v>
      </c>
      <c r="L42" s="2380">
        <f t="shared" ref="L42:L50" si="22">I42*100/F42</f>
        <v>0</v>
      </c>
      <c r="M42" s="2381">
        <f t="shared" si="21"/>
        <v>8670900</v>
      </c>
    </row>
    <row r="43" spans="1:15" s="673" customFormat="1" ht="34.5" customHeight="1" x14ac:dyDescent="0.5">
      <c r="A43" s="2316" t="s">
        <v>931</v>
      </c>
      <c r="B43" s="2738">
        <v>350000</v>
      </c>
      <c r="C43" s="2734" t="s">
        <v>914</v>
      </c>
      <c r="D43" s="2735"/>
      <c r="E43" s="2736">
        <f>SUM(C43:D43)</f>
        <v>0</v>
      </c>
      <c r="F43" s="2737">
        <f t="shared" ref="F43:F50" si="23">B43-E43</f>
        <v>350000</v>
      </c>
      <c r="G43" s="2740">
        <f t="shared" si="17"/>
        <v>350000</v>
      </c>
      <c r="H43" s="2741">
        <f>'[25]16.1โครงการ (งบลงทุน)'!$E$4</f>
        <v>350000</v>
      </c>
      <c r="I43" s="2734">
        <f>'[25]16.1โครงการ (งบลงทุน)'!$F$4</f>
        <v>0</v>
      </c>
      <c r="J43" s="2739"/>
      <c r="K43" s="2739">
        <f t="shared" si="19"/>
        <v>100</v>
      </c>
      <c r="L43" s="652">
        <f t="shared" si="22"/>
        <v>0</v>
      </c>
      <c r="M43" s="2350">
        <f t="shared" si="21"/>
        <v>0</v>
      </c>
      <c r="O43" s="2347">
        <f>+B44+B29</f>
        <v>13863500</v>
      </c>
    </row>
    <row r="44" spans="1:15" s="673" customFormat="1" ht="33.75" customHeight="1" x14ac:dyDescent="0.5">
      <c r="A44" s="2316" t="s">
        <v>932</v>
      </c>
      <c r="B44" s="2738">
        <v>8670900</v>
      </c>
      <c r="C44" s="2734" t="s">
        <v>914</v>
      </c>
      <c r="D44" s="2742"/>
      <c r="E44" s="2736">
        <f>SUM(C44:D44)</f>
        <v>0</v>
      </c>
      <c r="F44" s="2737">
        <f t="shared" si="23"/>
        <v>8670900</v>
      </c>
      <c r="G44" s="951">
        <f t="shared" si="17"/>
        <v>0</v>
      </c>
      <c r="H44" s="953">
        <f>'[26]16.1โครงการ (งบลงทุน)'!$E$4</f>
        <v>0</v>
      </c>
      <c r="I44" s="2738">
        <f>'[26]16.1โครงการ (งบลงทุน)'!$F$4</f>
        <v>0</v>
      </c>
      <c r="J44" s="2739"/>
      <c r="K44" s="2739">
        <f t="shared" si="19"/>
        <v>0</v>
      </c>
      <c r="L44" s="2743">
        <f t="shared" si="22"/>
        <v>0</v>
      </c>
      <c r="M44" s="2350">
        <f t="shared" si="21"/>
        <v>8670900</v>
      </c>
    </row>
    <row r="45" spans="1:15" ht="18.75" customHeight="1" x14ac:dyDescent="0.3">
      <c r="A45" s="2718" t="s">
        <v>915</v>
      </c>
      <c r="B45" s="2254">
        <f t="shared" ref="B45:D46" si="24">B46</f>
        <v>10459000</v>
      </c>
      <c r="C45" s="2254">
        <f t="shared" si="24"/>
        <v>8828340</v>
      </c>
      <c r="D45" s="2725">
        <f t="shared" si="24"/>
        <v>1086500</v>
      </c>
      <c r="E45" s="2255">
        <f t="shared" ref="E45:E50" si="25">C45+D45</f>
        <v>9914840</v>
      </c>
      <c r="F45" s="2705">
        <f t="shared" si="23"/>
        <v>544160</v>
      </c>
      <c r="G45" s="2719">
        <f t="shared" si="17"/>
        <v>385</v>
      </c>
      <c r="H45" s="2720">
        <f>H46</f>
        <v>0</v>
      </c>
      <c r="I45" s="2706">
        <f>I46</f>
        <v>385</v>
      </c>
      <c r="J45" s="2259"/>
      <c r="K45" s="2259">
        <f t="shared" si="19"/>
        <v>0</v>
      </c>
      <c r="L45" s="2707">
        <f t="shared" si="22"/>
        <v>7.0751249632461044E-2</v>
      </c>
      <c r="M45" s="2230">
        <f t="shared" si="21"/>
        <v>543775</v>
      </c>
    </row>
    <row r="46" spans="1:15" ht="18.75" customHeight="1" x14ac:dyDescent="0.3">
      <c r="A46" s="2694" t="s">
        <v>861</v>
      </c>
      <c r="B46" s="2686">
        <f t="shared" si="24"/>
        <v>10459000</v>
      </c>
      <c r="C46" s="2686">
        <f t="shared" si="24"/>
        <v>8828340</v>
      </c>
      <c r="D46" s="2722">
        <f t="shared" si="24"/>
        <v>1086500</v>
      </c>
      <c r="E46" s="2723">
        <f t="shared" si="25"/>
        <v>9914840</v>
      </c>
      <c r="F46" s="2695">
        <f t="shared" si="23"/>
        <v>544160</v>
      </c>
      <c r="G46" s="2724">
        <f t="shared" si="17"/>
        <v>385</v>
      </c>
      <c r="H46" s="2692">
        <f>H47</f>
        <v>0</v>
      </c>
      <c r="I46" s="2693">
        <f>I47</f>
        <v>385</v>
      </c>
      <c r="J46" s="2687"/>
      <c r="K46" s="2687">
        <f t="shared" si="19"/>
        <v>0</v>
      </c>
      <c r="L46" s="2688">
        <f t="shared" si="22"/>
        <v>7.0751249632461044E-2</v>
      </c>
      <c r="M46" s="2689">
        <f t="shared" si="21"/>
        <v>543775</v>
      </c>
    </row>
    <row r="47" spans="1:15" ht="20.100000000000001" customHeight="1" x14ac:dyDescent="0.3">
      <c r="A47" s="2373" t="s">
        <v>917</v>
      </c>
      <c r="B47" s="937">
        <f>SUM(B48:B50)</f>
        <v>10459000</v>
      </c>
      <c r="C47" s="937">
        <f>SUM(C48:C50)</f>
        <v>8828340</v>
      </c>
      <c r="D47" s="2698">
        <f>D48+D49+D50</f>
        <v>1086500</v>
      </c>
      <c r="E47" s="2375">
        <f t="shared" si="25"/>
        <v>9914840</v>
      </c>
      <c r="F47" s="2678">
        <f t="shared" si="23"/>
        <v>544160</v>
      </c>
      <c r="G47" s="2721">
        <f t="shared" si="17"/>
        <v>385</v>
      </c>
      <c r="H47" s="2699">
        <f>SUM(H48:H50)</f>
        <v>0</v>
      </c>
      <c r="I47" s="2700">
        <f>SUM(I48:I50)</f>
        <v>385</v>
      </c>
      <c r="J47" s="2379"/>
      <c r="K47" s="2379">
        <f t="shared" si="19"/>
        <v>0</v>
      </c>
      <c r="L47" s="2380">
        <f t="shared" si="22"/>
        <v>7.0751249632461044E-2</v>
      </c>
      <c r="M47" s="2381">
        <f t="shared" si="21"/>
        <v>543775</v>
      </c>
    </row>
    <row r="48" spans="1:15" ht="20.100000000000001" customHeight="1" x14ac:dyDescent="0.3">
      <c r="A48" s="2313" t="s">
        <v>912</v>
      </c>
      <c r="B48" s="372">
        <v>1500000</v>
      </c>
      <c r="C48" s="372">
        <v>1500000</v>
      </c>
      <c r="D48" s="399"/>
      <c r="E48" s="396">
        <f t="shared" si="25"/>
        <v>1500000</v>
      </c>
      <c r="F48" s="823">
        <f t="shared" si="23"/>
        <v>0</v>
      </c>
      <c r="G48" s="1741">
        <f t="shared" si="17"/>
        <v>0</v>
      </c>
      <c r="H48" s="485">
        <f>'14.พัฒนา ศกอ.'!K5</f>
        <v>0</v>
      </c>
      <c r="I48" s="400">
        <f>'14.พัฒนา ศกอ.'!L5</f>
        <v>0</v>
      </c>
      <c r="J48" s="393"/>
      <c r="K48" s="393" t="e">
        <f t="shared" si="19"/>
        <v>#DIV/0!</v>
      </c>
      <c r="L48" s="1809" t="e">
        <f t="shared" si="22"/>
        <v>#DIV/0!</v>
      </c>
      <c r="M48" s="2231">
        <f t="shared" si="21"/>
        <v>0</v>
      </c>
    </row>
    <row r="49" spans="1:17" ht="20.100000000000001" customHeight="1" x14ac:dyDescent="0.3">
      <c r="A49" s="2369" t="s">
        <v>911</v>
      </c>
      <c r="B49" s="372">
        <v>6459000</v>
      </c>
      <c r="C49" s="372">
        <v>4899300</v>
      </c>
      <c r="D49" s="1052">
        <v>1086500</v>
      </c>
      <c r="E49" s="396">
        <f t="shared" si="25"/>
        <v>5985800</v>
      </c>
      <c r="F49" s="823">
        <f t="shared" si="23"/>
        <v>473200</v>
      </c>
      <c r="G49" s="1741">
        <f t="shared" si="17"/>
        <v>385</v>
      </c>
      <c r="H49" s="485">
        <f>'15.ข้อมูลกรอบตัวอย่างโดย อกม'!K5</f>
        <v>0</v>
      </c>
      <c r="I49" s="400">
        <f>'15.ข้อมูลกรอบตัวอย่างโดย อกม'!L5</f>
        <v>385</v>
      </c>
      <c r="J49" s="393"/>
      <c r="K49" s="393">
        <f t="shared" si="19"/>
        <v>0</v>
      </c>
      <c r="L49" s="1809">
        <f t="shared" si="22"/>
        <v>8.1360946745562129E-2</v>
      </c>
      <c r="M49" s="2231">
        <f t="shared" si="21"/>
        <v>472815</v>
      </c>
    </row>
    <row r="50" spans="1:17" ht="20.100000000000001" customHeight="1" thickBot="1" x14ac:dyDescent="0.35">
      <c r="A50" s="2369" t="s">
        <v>913</v>
      </c>
      <c r="B50" s="372">
        <v>2500000</v>
      </c>
      <c r="C50" s="372">
        <v>2429040</v>
      </c>
      <c r="D50" s="399"/>
      <c r="E50" s="396">
        <f t="shared" si="25"/>
        <v>2429040</v>
      </c>
      <c r="F50" s="823">
        <f t="shared" si="23"/>
        <v>70960</v>
      </c>
      <c r="G50" s="1741">
        <f t="shared" si="17"/>
        <v>0</v>
      </c>
      <c r="H50" s="485">
        <f>'16.Socio'!K5</f>
        <v>0</v>
      </c>
      <c r="I50" s="400">
        <f>'16.Socio'!L5</f>
        <v>0</v>
      </c>
      <c r="J50" s="393"/>
      <c r="K50" s="393">
        <f t="shared" si="19"/>
        <v>0</v>
      </c>
      <c r="L50" s="1809">
        <f t="shared" si="22"/>
        <v>0</v>
      </c>
      <c r="M50" s="2231">
        <f t="shared" si="21"/>
        <v>70960</v>
      </c>
    </row>
    <row r="51" spans="1:17" s="449" customFormat="1" ht="19.5" customHeight="1" thickTop="1" thickBot="1" x14ac:dyDescent="0.35">
      <c r="A51" s="2233" t="s">
        <v>28</v>
      </c>
      <c r="B51" s="2234">
        <f t="shared" ref="B51:I51" si="26">B7+B17+B45</f>
        <v>107882900</v>
      </c>
      <c r="C51" s="2234">
        <f t="shared" si="26"/>
        <v>32676065</v>
      </c>
      <c r="D51" s="2234">
        <f t="shared" si="26"/>
        <v>1206500</v>
      </c>
      <c r="E51" s="2235">
        <f t="shared" si="26"/>
        <v>33882565</v>
      </c>
      <c r="F51" s="2236">
        <f t="shared" si="26"/>
        <v>74000335</v>
      </c>
      <c r="G51" s="2364">
        <f t="shared" si="26"/>
        <v>2083032.32</v>
      </c>
      <c r="H51" s="2234">
        <f t="shared" si="26"/>
        <v>1099020.02</v>
      </c>
      <c r="I51" s="2365">
        <f t="shared" si="26"/>
        <v>984012.3</v>
      </c>
      <c r="J51" s="2237">
        <f>+G51*100/F51</f>
        <v>2.8148957974311872</v>
      </c>
      <c r="K51" s="2237">
        <f>H51*100/F51</f>
        <v>1.4851554658502559</v>
      </c>
      <c r="L51" s="2238">
        <f>I51*100/F51</f>
        <v>1.3297403315809313</v>
      </c>
      <c r="M51" s="2239">
        <f>F51-G51</f>
        <v>71917302.680000007</v>
      </c>
      <c r="O51" s="792"/>
      <c r="P51" s="792"/>
      <c r="Q51" s="792"/>
    </row>
    <row r="52" spans="1:17" s="449" customFormat="1" ht="19.5" customHeight="1" thickTop="1" x14ac:dyDescent="0.3">
      <c r="A52" s="791"/>
      <c r="B52" s="792"/>
      <c r="C52" s="792"/>
      <c r="D52" s="792"/>
      <c r="E52" s="792"/>
      <c r="F52" s="792"/>
      <c r="G52" s="792"/>
      <c r="H52" s="792"/>
      <c r="I52" s="792"/>
      <c r="J52" s="793"/>
      <c r="K52" s="793"/>
      <c r="L52" s="793"/>
      <c r="M52" s="823"/>
      <c r="O52" s="792"/>
      <c r="P52" s="792"/>
      <c r="Q52" s="792"/>
    </row>
    <row r="53" spans="1:17" s="449" customFormat="1" ht="19.5" customHeight="1" x14ac:dyDescent="0.3">
      <c r="A53" s="791"/>
      <c r="B53" s="792"/>
      <c r="C53" s="792"/>
      <c r="D53" s="792"/>
      <c r="E53" s="792"/>
      <c r="F53" s="792"/>
      <c r="G53" s="792"/>
      <c r="H53" s="792"/>
      <c r="I53" s="792"/>
      <c r="J53" s="793"/>
      <c r="K53" s="793"/>
      <c r="L53" s="793"/>
      <c r="M53" s="823"/>
      <c r="O53" s="792"/>
      <c r="P53" s="792"/>
      <c r="Q53" s="792"/>
    </row>
    <row r="54" spans="1:17" s="449" customFormat="1" ht="19.5" customHeight="1" x14ac:dyDescent="0.3">
      <c r="A54" s="2661"/>
      <c r="B54" s="792" t="s">
        <v>896</v>
      </c>
      <c r="C54" s="792" t="s">
        <v>297</v>
      </c>
      <c r="D54" s="792" t="s">
        <v>16</v>
      </c>
      <c r="E54" s="792" t="s">
        <v>897</v>
      </c>
      <c r="F54" s="792" t="s">
        <v>898</v>
      </c>
      <c r="G54" s="792"/>
      <c r="H54" s="792"/>
      <c r="I54" s="792"/>
      <c r="J54" s="793"/>
      <c r="K54" s="793"/>
      <c r="L54" s="793"/>
      <c r="M54" s="823"/>
      <c r="O54" s="792"/>
      <c r="P54" s="792"/>
      <c r="Q54" s="792"/>
    </row>
    <row r="55" spans="1:17" s="449" customFormat="1" ht="19.5" customHeight="1" x14ac:dyDescent="0.3">
      <c r="A55" s="2661" t="s">
        <v>899</v>
      </c>
      <c r="B55" s="792"/>
      <c r="C55" s="792"/>
      <c r="D55" s="792"/>
      <c r="E55" s="792"/>
      <c r="F55" s="792"/>
      <c r="G55" s="792"/>
      <c r="H55" s="792"/>
      <c r="I55" s="792"/>
      <c r="J55" s="793"/>
      <c r="K55" s="793"/>
      <c r="L55" s="793"/>
      <c r="M55" s="823"/>
      <c r="O55" s="792"/>
      <c r="P55" s="792"/>
      <c r="Q55" s="792"/>
    </row>
    <row r="56" spans="1:17" s="449" customFormat="1" ht="19.5" customHeight="1" x14ac:dyDescent="0.3">
      <c r="A56" s="2661" t="s">
        <v>894</v>
      </c>
      <c r="B56" s="792"/>
      <c r="C56" s="792"/>
      <c r="D56" s="792"/>
      <c r="E56" s="792"/>
      <c r="F56" s="792"/>
      <c r="G56" s="792"/>
      <c r="H56" s="792"/>
      <c r="I56" s="792"/>
      <c r="J56" s="793"/>
      <c r="K56" s="793"/>
      <c r="L56" s="793"/>
      <c r="M56" s="823"/>
      <c r="O56" s="792"/>
      <c r="P56" s="792"/>
      <c r="Q56" s="792"/>
    </row>
    <row r="57" spans="1:17" s="673" customFormat="1" ht="19.5" customHeight="1" x14ac:dyDescent="0.3">
      <c r="A57" s="2665" t="s">
        <v>857</v>
      </c>
      <c r="B57" s="2347"/>
      <c r="C57" s="2347"/>
      <c r="D57" s="2347"/>
      <c r="E57" s="2347"/>
      <c r="F57" s="2347"/>
      <c r="G57" s="2347"/>
      <c r="H57" s="2347"/>
      <c r="I57" s="2347"/>
      <c r="J57" s="2668"/>
      <c r="K57" s="2668"/>
      <c r="L57" s="2668"/>
      <c r="M57" s="650"/>
      <c r="O57" s="2347"/>
      <c r="P57" s="2347"/>
      <c r="Q57" s="2347"/>
    </row>
    <row r="58" spans="1:17" s="673" customFormat="1" ht="19.5" customHeight="1" x14ac:dyDescent="0.3">
      <c r="A58" s="2665" t="s">
        <v>858</v>
      </c>
      <c r="B58" s="2347"/>
      <c r="C58" s="2347"/>
      <c r="D58" s="2347"/>
      <c r="E58" s="2347"/>
      <c r="F58" s="2347"/>
      <c r="G58" s="2347"/>
      <c r="H58" s="2347"/>
      <c r="I58" s="2347"/>
      <c r="J58" s="2668"/>
      <c r="K58" s="2668"/>
      <c r="L58" s="2668"/>
      <c r="M58" s="650"/>
      <c r="O58" s="2347"/>
      <c r="P58" s="2347"/>
      <c r="Q58" s="2347"/>
    </row>
    <row r="59" spans="1:17" s="673" customFormat="1" ht="19.5" customHeight="1" x14ac:dyDescent="0.3">
      <c r="A59" s="2665" t="s">
        <v>859</v>
      </c>
      <c r="B59" s="2347"/>
      <c r="C59" s="2347"/>
      <c r="D59" s="2347"/>
      <c r="E59" s="2347"/>
      <c r="F59" s="2347"/>
      <c r="G59" s="2347"/>
      <c r="H59" s="2347"/>
      <c r="I59" s="2347"/>
      <c r="J59" s="2668"/>
      <c r="K59" s="2668"/>
      <c r="L59" s="2668"/>
      <c r="M59" s="650"/>
      <c r="O59" s="2347"/>
      <c r="P59" s="2347"/>
      <c r="Q59" s="2347"/>
    </row>
    <row r="60" spans="1:17" s="673" customFormat="1" ht="19.5" customHeight="1" x14ac:dyDescent="0.3">
      <c r="A60" s="2665" t="s">
        <v>900</v>
      </c>
      <c r="B60" s="2347"/>
      <c r="C60" s="2347"/>
      <c r="D60" s="2347"/>
      <c r="E60" s="2347"/>
      <c r="F60" s="2347"/>
      <c r="G60" s="2347"/>
      <c r="H60" s="2347"/>
      <c r="I60" s="2347"/>
      <c r="J60" s="2668"/>
      <c r="K60" s="2668"/>
      <c r="L60" s="2668"/>
      <c r="M60" s="650"/>
      <c r="O60" s="2347"/>
      <c r="P60" s="2347"/>
      <c r="Q60" s="2347"/>
    </row>
    <row r="61" spans="1:17" s="673" customFormat="1" ht="19.5" customHeight="1" x14ac:dyDescent="0.3">
      <c r="A61" s="2665" t="s">
        <v>901</v>
      </c>
      <c r="B61" s="2347"/>
      <c r="C61" s="2347"/>
      <c r="D61" s="2347"/>
      <c r="E61" s="2347"/>
      <c r="F61" s="2347"/>
      <c r="G61" s="2347"/>
      <c r="H61" s="2347"/>
      <c r="I61" s="2347"/>
      <c r="J61" s="2668"/>
      <c r="K61" s="2668"/>
      <c r="L61" s="2668"/>
      <c r="M61" s="650"/>
      <c r="O61" s="2347"/>
      <c r="P61" s="2347"/>
      <c r="Q61" s="2347"/>
    </row>
    <row r="62" spans="1:17" s="449" customFormat="1" ht="19.5" customHeight="1" x14ac:dyDescent="0.3">
      <c r="A62" s="2661" t="s">
        <v>893</v>
      </c>
      <c r="B62" s="792"/>
      <c r="C62" s="792"/>
      <c r="D62" s="792"/>
      <c r="E62" s="792"/>
      <c r="F62" s="792"/>
      <c r="G62" s="792"/>
      <c r="H62" s="792"/>
      <c r="I62" s="792"/>
      <c r="J62" s="793"/>
      <c r="K62" s="793"/>
      <c r="L62" s="793"/>
      <c r="M62" s="823"/>
      <c r="O62" s="792"/>
      <c r="P62" s="792"/>
      <c r="Q62" s="792"/>
    </row>
    <row r="63" spans="1:17" s="673" customFormat="1" ht="19.5" customHeight="1" x14ac:dyDescent="0.3">
      <c r="A63" s="2663" t="s">
        <v>842</v>
      </c>
      <c r="B63" s="2347"/>
      <c r="C63" s="2347"/>
      <c r="D63" s="2347"/>
      <c r="E63" s="2347"/>
      <c r="F63" s="2347"/>
      <c r="G63" s="2347"/>
      <c r="H63" s="2347"/>
      <c r="I63" s="2347"/>
      <c r="J63" s="2668"/>
      <c r="K63" s="2668"/>
      <c r="L63" s="2668"/>
      <c r="M63" s="650"/>
      <c r="O63" s="2347"/>
      <c r="P63" s="2347"/>
      <c r="Q63" s="2347"/>
    </row>
    <row r="64" spans="1:17" s="673" customFormat="1" ht="19.5" customHeight="1" x14ac:dyDescent="0.3">
      <c r="A64" s="2663" t="s">
        <v>843</v>
      </c>
      <c r="B64" s="2347"/>
      <c r="C64" s="2347"/>
      <c r="D64" s="2347"/>
      <c r="E64" s="2347"/>
      <c r="F64" s="2347"/>
      <c r="G64" s="2347"/>
      <c r="H64" s="2347"/>
      <c r="I64" s="2347"/>
      <c r="J64" s="2668"/>
      <c r="K64" s="2668"/>
      <c r="L64" s="2668"/>
      <c r="M64" s="650"/>
      <c r="O64" s="2347"/>
      <c r="P64" s="2347"/>
      <c r="Q64" s="2347"/>
    </row>
    <row r="65" spans="1:17" s="673" customFormat="1" ht="19.5" customHeight="1" x14ac:dyDescent="0.3">
      <c r="A65" s="2666" t="s">
        <v>844</v>
      </c>
      <c r="B65" s="2347"/>
      <c r="C65" s="2347"/>
      <c r="D65" s="2347"/>
      <c r="E65" s="2347"/>
      <c r="F65" s="2347"/>
      <c r="G65" s="2347"/>
      <c r="H65" s="2347"/>
      <c r="I65" s="2347"/>
      <c r="J65" s="2668"/>
      <c r="K65" s="2668"/>
      <c r="L65" s="2668"/>
      <c r="M65" s="650"/>
      <c r="O65" s="2347"/>
      <c r="P65" s="2347"/>
      <c r="Q65" s="2347"/>
    </row>
    <row r="66" spans="1:17" s="673" customFormat="1" ht="19.5" customHeight="1" x14ac:dyDescent="0.3">
      <c r="A66" s="2666" t="s">
        <v>845</v>
      </c>
      <c r="B66" s="2347"/>
      <c r="C66" s="2347"/>
      <c r="D66" s="2347"/>
      <c r="E66" s="2347"/>
      <c r="F66" s="2347"/>
      <c r="G66" s="2347"/>
      <c r="H66" s="2347"/>
      <c r="I66" s="2347"/>
      <c r="J66" s="2668"/>
      <c r="K66" s="2668"/>
      <c r="L66" s="2668"/>
      <c r="M66" s="650"/>
      <c r="O66" s="2347"/>
      <c r="P66" s="2347"/>
      <c r="Q66" s="2347"/>
    </row>
    <row r="67" spans="1:17" s="673" customFormat="1" ht="19.5" customHeight="1" x14ac:dyDescent="0.3">
      <c r="A67" s="2731" t="s">
        <v>846</v>
      </c>
      <c r="B67" s="2347"/>
      <c r="C67" s="2347"/>
      <c r="D67" s="2347"/>
      <c r="E67" s="2347"/>
      <c r="F67" s="2347"/>
      <c r="G67" s="2347"/>
      <c r="H67" s="2347"/>
      <c r="I67" s="2347"/>
      <c r="J67" s="2668"/>
      <c r="K67" s="2668"/>
      <c r="L67" s="2668"/>
      <c r="M67" s="650"/>
      <c r="O67" s="2347"/>
      <c r="P67" s="2347"/>
      <c r="Q67" s="2347"/>
    </row>
    <row r="68" spans="1:17" s="673" customFormat="1" ht="19.5" customHeight="1" x14ac:dyDescent="0.3">
      <c r="A68" s="2731" t="s">
        <v>918</v>
      </c>
      <c r="B68" s="2347"/>
      <c r="C68" s="2347"/>
      <c r="D68" s="2347"/>
      <c r="E68" s="2347"/>
      <c r="F68" s="2347"/>
      <c r="G68" s="2347"/>
      <c r="H68" s="2347"/>
      <c r="I68" s="2347"/>
      <c r="J68" s="2668"/>
      <c r="K68" s="2668"/>
      <c r="L68" s="2668"/>
      <c r="M68" s="650"/>
      <c r="O68" s="2347"/>
      <c r="P68" s="2347"/>
      <c r="Q68" s="2347"/>
    </row>
    <row r="69" spans="1:17" s="449" customFormat="1" ht="19.5" customHeight="1" x14ac:dyDescent="0.3">
      <c r="A69" s="2662" t="s">
        <v>895</v>
      </c>
      <c r="B69" s="792"/>
      <c r="C69" s="792"/>
      <c r="D69" s="792"/>
      <c r="E69" s="792"/>
      <c r="F69" s="792"/>
      <c r="G69" s="792"/>
      <c r="H69" s="792"/>
      <c r="I69" s="792"/>
      <c r="J69" s="793"/>
      <c r="K69" s="793"/>
      <c r="L69" s="793"/>
      <c r="M69" s="823"/>
      <c r="O69" s="792"/>
      <c r="P69" s="792"/>
      <c r="Q69" s="792"/>
    </row>
    <row r="70" spans="1:17" s="673" customFormat="1" ht="19.5" customHeight="1" x14ac:dyDescent="0.3">
      <c r="A70" s="2663" t="s">
        <v>848</v>
      </c>
      <c r="B70" s="2347"/>
      <c r="C70" s="2347"/>
      <c r="D70" s="2347"/>
      <c r="E70" s="2347"/>
      <c r="F70" s="2347"/>
      <c r="G70" s="2347"/>
      <c r="H70" s="2347"/>
      <c r="I70" s="2347"/>
      <c r="J70" s="2668"/>
      <c r="K70" s="2668"/>
      <c r="L70" s="2668"/>
      <c r="M70" s="650"/>
      <c r="O70" s="2347"/>
      <c r="P70" s="2347"/>
      <c r="Q70" s="2347"/>
    </row>
    <row r="71" spans="1:17" s="673" customFormat="1" ht="19.5" customHeight="1" x14ac:dyDescent="0.3">
      <c r="A71" s="2663" t="s">
        <v>849</v>
      </c>
      <c r="B71" s="2347"/>
      <c r="C71" s="2347"/>
      <c r="D71" s="2347"/>
      <c r="E71" s="2347"/>
      <c r="F71" s="2347"/>
      <c r="G71" s="2347"/>
      <c r="H71" s="2347"/>
      <c r="I71" s="2347"/>
      <c r="J71" s="2668"/>
      <c r="K71" s="2668"/>
      <c r="L71" s="2668"/>
      <c r="M71" s="650"/>
      <c r="O71" s="2347"/>
      <c r="P71" s="2347"/>
      <c r="Q71" s="2347"/>
    </row>
    <row r="72" spans="1:17" s="673" customFormat="1" ht="19.5" customHeight="1" x14ac:dyDescent="0.3">
      <c r="A72" s="942"/>
      <c r="B72" s="2347"/>
      <c r="C72" s="2347"/>
      <c r="D72" s="2347"/>
      <c r="E72" s="2347"/>
      <c r="F72" s="2347"/>
      <c r="G72" s="2347"/>
      <c r="H72" s="2347"/>
      <c r="I72" s="2347"/>
      <c r="J72" s="2668"/>
      <c r="K72" s="2668"/>
      <c r="L72" s="2668"/>
      <c r="M72" s="650"/>
      <c r="O72" s="2347"/>
      <c r="P72" s="2347"/>
      <c r="Q72" s="2347"/>
    </row>
    <row r="73" spans="1:17" s="449" customFormat="1" ht="19.5" customHeight="1" x14ac:dyDescent="0.3">
      <c r="A73" s="791"/>
      <c r="B73" s="792"/>
      <c r="C73" s="792"/>
      <c r="D73" s="792"/>
      <c r="E73" s="792"/>
      <c r="F73" s="792"/>
      <c r="G73" s="792"/>
      <c r="H73" s="792"/>
      <c r="I73" s="792"/>
      <c r="J73" s="793"/>
      <c r="K73" s="793"/>
      <c r="L73" s="793"/>
      <c r="M73" s="823"/>
      <c r="O73" s="792"/>
      <c r="P73" s="792"/>
      <c r="Q73" s="792"/>
    </row>
    <row r="74" spans="1:17" s="449" customFormat="1" ht="19.5" customHeight="1" x14ac:dyDescent="0.3">
      <c r="A74" s="791"/>
      <c r="B74" s="792"/>
      <c r="C74" s="792"/>
      <c r="D74" s="792"/>
      <c r="E74" s="792"/>
      <c r="F74" s="792"/>
      <c r="G74" s="792"/>
      <c r="H74" s="792"/>
      <c r="I74" s="792"/>
      <c r="J74" s="793"/>
      <c r="K74" s="793"/>
      <c r="L74" s="793"/>
      <c r="M74" s="823"/>
      <c r="O74" s="792"/>
      <c r="P74" s="792"/>
      <c r="Q74" s="792"/>
    </row>
    <row r="75" spans="1:17" s="449" customFormat="1" ht="19.5" customHeight="1" x14ac:dyDescent="0.3">
      <c r="A75" s="791"/>
      <c r="B75" s="792"/>
      <c r="C75" s="792"/>
      <c r="D75" s="792"/>
      <c r="E75" s="792"/>
      <c r="F75" s="792"/>
      <c r="G75" s="792"/>
      <c r="H75" s="792"/>
      <c r="I75" s="792"/>
      <c r="J75" s="793"/>
      <c r="K75" s="793"/>
      <c r="L75" s="793"/>
      <c r="M75" s="823"/>
      <c r="O75" s="792"/>
      <c r="P75" s="792"/>
      <c r="Q75" s="792"/>
    </row>
    <row r="76" spans="1:17" s="449" customFormat="1" ht="19.5" customHeight="1" x14ac:dyDescent="0.3">
      <c r="A76" s="791"/>
      <c r="B76" s="792"/>
      <c r="C76" s="792"/>
      <c r="D76" s="792"/>
      <c r="E76" s="792"/>
      <c r="F76" s="792"/>
      <c r="G76" s="792"/>
      <c r="H76" s="792"/>
      <c r="I76" s="792"/>
      <c r="J76" s="793"/>
      <c r="K76" s="793"/>
      <c r="L76" s="793"/>
      <c r="M76" s="823"/>
      <c r="O76" s="792"/>
      <c r="P76" s="792"/>
      <c r="Q76" s="792"/>
    </row>
    <row r="77" spans="1:17" s="449" customFormat="1" ht="19.5" customHeight="1" x14ac:dyDescent="0.3">
      <c r="A77" s="791"/>
      <c r="B77" s="792"/>
      <c r="C77" s="792"/>
      <c r="D77" s="792"/>
      <c r="E77" s="792"/>
      <c r="F77" s="792"/>
      <c r="G77" s="792"/>
      <c r="H77" s="792"/>
      <c r="I77" s="792"/>
      <c r="J77" s="793"/>
      <c r="K77" s="793"/>
      <c r="L77" s="793"/>
      <c r="M77" s="823"/>
      <c r="O77" s="792"/>
      <c r="P77" s="792"/>
      <c r="Q77" s="792"/>
    </row>
    <row r="78" spans="1:17" s="449" customFormat="1" ht="20.25" customHeight="1" x14ac:dyDescent="0.5">
      <c r="A78" s="791"/>
      <c r="B78" s="792"/>
      <c r="C78" s="792"/>
      <c r="D78" s="792"/>
      <c r="E78" s="792"/>
      <c r="F78" s="792"/>
      <c r="G78" s="792"/>
      <c r="H78" s="792"/>
      <c r="I78" s="792"/>
      <c r="J78" s="793"/>
      <c r="K78" s="793"/>
      <c r="L78" s="793"/>
      <c r="M78" s="792"/>
    </row>
    <row r="79" spans="1:17" ht="31.5" customHeight="1" x14ac:dyDescent="0.3">
      <c r="A79" s="791"/>
      <c r="B79" s="792"/>
      <c r="C79" s="792"/>
      <c r="D79" s="792"/>
      <c r="E79" s="792"/>
      <c r="F79" s="792"/>
      <c r="G79" s="792"/>
      <c r="H79" s="792"/>
      <c r="I79" s="792"/>
      <c r="J79" s="793"/>
      <c r="K79" s="793"/>
      <c r="L79" s="793"/>
      <c r="M79" s="792"/>
    </row>
    <row r="80" spans="1:17" ht="30" customHeight="1" x14ac:dyDescent="0.3">
      <c r="A80" s="1745"/>
      <c r="B80" s="1746"/>
      <c r="M80" s="1639"/>
      <c r="N80" s="3438"/>
      <c r="O80" s="3437"/>
      <c r="P80" s="3438"/>
      <c r="Q80" s="669"/>
    </row>
    <row r="81" spans="1:18" ht="30" customHeight="1" x14ac:dyDescent="0.3">
      <c r="A81" s="3458"/>
      <c r="B81" s="3458"/>
      <c r="C81" s="3438"/>
      <c r="D81" s="3458"/>
      <c r="E81" s="3458"/>
      <c r="F81" s="3458"/>
      <c r="G81" s="3458"/>
      <c r="H81" s="3458"/>
      <c r="I81" s="3458"/>
      <c r="J81" s="3463"/>
      <c r="K81" s="3437"/>
      <c r="L81" s="3437"/>
      <c r="M81" s="668"/>
      <c r="N81" s="3438"/>
      <c r="O81" s="3437"/>
      <c r="P81" s="3438"/>
      <c r="Q81" s="669"/>
    </row>
    <row r="82" spans="1:18" s="31" customFormat="1" x14ac:dyDescent="0.25">
      <c r="A82" s="3458"/>
      <c r="B82" s="3458"/>
      <c r="C82" s="3438"/>
      <c r="D82" s="668"/>
      <c r="E82" s="668"/>
      <c r="F82" s="668"/>
      <c r="G82" s="668"/>
      <c r="H82" s="668"/>
      <c r="I82" s="668"/>
      <c r="J82" s="3463"/>
      <c r="K82" s="3437"/>
      <c r="L82" s="3437"/>
      <c r="M82" s="668"/>
      <c r="N82" s="1241"/>
      <c r="O82" s="1241"/>
      <c r="P82" s="1241"/>
      <c r="Q82" s="1241"/>
    </row>
    <row r="83" spans="1:18" s="31" customFormat="1" ht="15.75" x14ac:dyDescent="0.25">
      <c r="A83" s="1747"/>
      <c r="B83" s="2273"/>
      <c r="C83" s="1748"/>
      <c r="D83" s="1749"/>
      <c r="E83" s="1750"/>
      <c r="F83" s="1750"/>
      <c r="G83" s="1751"/>
      <c r="H83" s="1751"/>
      <c r="I83" s="1751"/>
      <c r="J83" s="1751"/>
      <c r="K83" s="1241"/>
      <c r="L83" s="1241"/>
      <c r="M83" s="2274"/>
      <c r="N83" s="1242"/>
      <c r="O83" s="1242"/>
      <c r="P83" s="1242"/>
      <c r="Q83" s="1241"/>
      <c r="R83" s="1004"/>
    </row>
    <row r="84" spans="1:18" s="31" customFormat="1" ht="15.75" x14ac:dyDescent="0.25">
      <c r="A84" s="1747"/>
      <c r="B84" s="1752"/>
      <c r="C84" s="1754"/>
      <c r="D84" s="1749"/>
      <c r="E84" s="1750"/>
      <c r="F84" s="1750"/>
      <c r="G84" s="1751"/>
      <c r="H84" s="1751"/>
      <c r="I84" s="1751"/>
      <c r="J84" s="1751"/>
      <c r="K84" s="1242"/>
      <c r="L84" s="1242"/>
      <c r="M84" s="1753"/>
      <c r="N84" s="1242"/>
      <c r="O84" s="1242"/>
      <c r="P84" s="1242"/>
      <c r="Q84" s="1241"/>
    </row>
    <row r="85" spans="1:18" s="31" customFormat="1" ht="15.75" x14ac:dyDescent="0.25">
      <c r="A85" s="1747"/>
      <c r="B85" s="1752"/>
      <c r="C85" s="1754"/>
      <c r="D85" s="1749"/>
      <c r="E85" s="1750"/>
      <c r="F85" s="1750"/>
      <c r="G85" s="1751"/>
      <c r="H85" s="1751"/>
      <c r="I85" s="1751"/>
      <c r="J85" s="1751"/>
      <c r="K85" s="1242"/>
      <c r="L85" s="1242"/>
      <c r="M85" s="1753"/>
      <c r="N85" s="1242"/>
      <c r="O85" s="1242"/>
      <c r="P85" s="1242"/>
      <c r="Q85" s="1241"/>
    </row>
    <row r="86" spans="1:18" s="31" customFormat="1" ht="15.75" x14ac:dyDescent="0.25">
      <c r="A86" s="1747"/>
      <c r="B86" s="1752"/>
      <c r="C86" s="1754"/>
      <c r="D86" s="1749"/>
      <c r="E86" s="1750"/>
      <c r="F86" s="1750"/>
      <c r="G86" s="1751"/>
      <c r="H86" s="1751"/>
      <c r="I86" s="1751"/>
      <c r="J86" s="1751"/>
      <c r="K86" s="1242"/>
      <c r="L86" s="1242"/>
      <c r="M86" s="1753"/>
      <c r="N86" s="1242"/>
      <c r="O86" s="1242"/>
      <c r="P86" s="1242"/>
      <c r="Q86" s="1241"/>
    </row>
    <row r="87" spans="1:18" s="31" customFormat="1" ht="15.75" x14ac:dyDescent="0.25">
      <c r="A87" s="1747"/>
      <c r="B87" s="1752"/>
      <c r="C87" s="1754"/>
      <c r="D87" s="1749"/>
      <c r="E87" s="1750"/>
      <c r="F87" s="1750"/>
      <c r="G87" s="1751"/>
      <c r="H87" s="1751"/>
      <c r="I87" s="1751"/>
      <c r="J87" s="1751"/>
      <c r="K87" s="1242"/>
      <c r="L87" s="1242"/>
      <c r="M87" s="1753"/>
      <c r="N87" s="1242"/>
      <c r="O87" s="1242"/>
      <c r="P87" s="1242"/>
      <c r="Q87" s="1241"/>
    </row>
    <row r="88" spans="1:18" s="31" customFormat="1" ht="15.75" x14ac:dyDescent="0.25">
      <c r="A88" s="1747"/>
      <c r="B88" s="1752"/>
      <c r="C88" s="1754"/>
      <c r="D88" s="1755"/>
      <c r="E88" s="1750"/>
      <c r="F88" s="1750"/>
      <c r="G88" s="1751"/>
      <c r="H88" s="1751"/>
      <c r="I88" s="1751"/>
      <c r="J88" s="1751"/>
      <c r="K88" s="1242"/>
      <c r="L88" s="1242"/>
      <c r="M88" s="1753"/>
      <c r="N88" s="1242"/>
      <c r="O88" s="1242"/>
      <c r="P88" s="1242"/>
      <c r="Q88" s="1241"/>
    </row>
    <row r="89" spans="1:18" s="31" customFormat="1" ht="15.75" x14ac:dyDescent="0.25">
      <c r="A89" s="1747"/>
      <c r="B89" s="1752"/>
      <c r="C89" s="1754"/>
      <c r="D89" s="1755"/>
      <c r="E89" s="1750"/>
      <c r="F89" s="1750"/>
      <c r="G89" s="1751"/>
      <c r="H89" s="1751"/>
      <c r="I89" s="1751"/>
      <c r="J89" s="1751"/>
      <c r="K89" s="1242"/>
      <c r="L89" s="1242"/>
      <c r="M89" s="1753"/>
      <c r="N89" s="1242"/>
      <c r="O89" s="1242"/>
      <c r="P89" s="1242"/>
      <c r="Q89" s="1241"/>
    </row>
    <row r="90" spans="1:18" s="31" customFormat="1" ht="15.75" x14ac:dyDescent="0.25">
      <c r="A90" s="1747"/>
      <c r="B90" s="1752"/>
      <c r="C90" s="1754"/>
      <c r="D90" s="1755"/>
      <c r="E90" s="1750"/>
      <c r="F90" s="1750"/>
      <c r="G90" s="1751"/>
      <c r="H90" s="1751"/>
      <c r="I90" s="1751"/>
      <c r="J90" s="1751"/>
      <c r="K90" s="1242"/>
      <c r="L90" s="1242"/>
      <c r="M90" s="1753"/>
      <c r="N90" s="1242"/>
      <c r="O90" s="1242"/>
      <c r="P90" s="1242"/>
      <c r="Q90" s="1242"/>
    </row>
    <row r="91" spans="1:18" s="60" customFormat="1" ht="34.5" customHeight="1" x14ac:dyDescent="0.25">
      <c r="A91" s="1747"/>
      <c r="B91" s="1752"/>
      <c r="C91" s="1754"/>
      <c r="D91" s="1539"/>
      <c r="E91" s="1750"/>
      <c r="F91" s="1750"/>
      <c r="G91" s="1751"/>
      <c r="H91" s="1751"/>
      <c r="I91" s="1751"/>
      <c r="J91" s="1751"/>
      <c r="K91" s="1242"/>
      <c r="L91" s="1242"/>
      <c r="M91" s="1753"/>
      <c r="N91" s="1243"/>
      <c r="O91" s="1243"/>
      <c r="P91" s="1243"/>
      <c r="Q91" s="1243"/>
    </row>
    <row r="92" spans="1:18" s="31" customFormat="1" ht="15.75" x14ac:dyDescent="0.25">
      <c r="A92" s="1756"/>
      <c r="B92" s="1757"/>
      <c r="C92" s="1758"/>
      <c r="D92" s="1759"/>
      <c r="E92" s="1759"/>
      <c r="F92" s="1759"/>
      <c r="G92" s="1760"/>
      <c r="H92" s="1760"/>
      <c r="I92" s="1760"/>
      <c r="J92" s="1760"/>
      <c r="K92" s="1243"/>
      <c r="L92" s="1243"/>
      <c r="M92" s="1757"/>
    </row>
    <row r="93" spans="1:18" x14ac:dyDescent="0.3">
      <c r="A93" s="31"/>
      <c r="B93" s="31"/>
      <c r="C93" s="31"/>
      <c r="D93" s="31"/>
      <c r="E93" s="555"/>
      <c r="F93" s="31"/>
      <c r="G93" s="1761"/>
      <c r="H93" s="31"/>
      <c r="I93" s="1761"/>
      <c r="J93" s="31"/>
      <c r="K93" s="31"/>
      <c r="L93" s="31"/>
      <c r="M93" s="555"/>
    </row>
    <row r="94" spans="1:18" x14ac:dyDescent="0.3">
      <c r="B94" s="665"/>
      <c r="M94" s="954"/>
    </row>
  </sheetData>
  <mergeCells count="20">
    <mergeCell ref="K81:K82"/>
    <mergeCell ref="L81:L82"/>
    <mergeCell ref="N80:N81"/>
    <mergeCell ref="O80:O81"/>
    <mergeCell ref="P80:P81"/>
    <mergeCell ref="A81:A82"/>
    <mergeCell ref="B81:B82"/>
    <mergeCell ref="C81:C82"/>
    <mergeCell ref="D81:I81"/>
    <mergeCell ref="J81:J82"/>
    <mergeCell ref="A1:J1"/>
    <mergeCell ref="L1:M1"/>
    <mergeCell ref="K2:L2"/>
    <mergeCell ref="C3:E3"/>
    <mergeCell ref="F3:F4"/>
    <mergeCell ref="G3:L3"/>
    <mergeCell ref="M3:M6"/>
    <mergeCell ref="D4:D5"/>
    <mergeCell ref="E4:E6"/>
    <mergeCell ref="J5:J6"/>
  </mergeCells>
  <pageMargins left="0" right="0" top="0" bottom="0" header="0.31496062992126" footer="0.31496062992126"/>
  <pageSetup paperSize="9" scale="93" orientation="landscape" r:id="rId1"/>
  <rowBreaks count="2" manualBreakCount="2">
    <brk id="32" max="22" man="1"/>
    <brk id="61" max="22" man="1"/>
  </rowBreaks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0D1EA-6B3C-4FE6-8CE1-6BF60882A27C}">
  <sheetPr>
    <tabColor rgb="FFFFCCFF"/>
  </sheetPr>
  <dimension ref="A1:Q126"/>
  <sheetViews>
    <sheetView view="pageBreakPreview" zoomScale="120" zoomScaleNormal="100" zoomScaleSheetLayoutView="120" workbookViewId="0">
      <pane ySplit="6" topLeftCell="A55" activePane="bottomLeft" state="frozen"/>
      <selection pane="bottomLeft" activeCell="A57" sqref="A57"/>
    </sheetView>
  </sheetViews>
  <sheetFormatPr defaultColWidth="8.85546875" defaultRowHeight="18.75" x14ac:dyDescent="0.3"/>
  <cols>
    <col min="1" max="1" width="41.42578125" style="366" customWidth="1"/>
    <col min="2" max="4" width="12.85546875" style="366" customWidth="1"/>
    <col min="5" max="5" width="12.5703125" style="385" customWidth="1"/>
    <col min="6" max="6" width="12.28515625" style="366" customWidth="1"/>
    <col min="7" max="7" width="11.85546875" style="366" customWidth="1"/>
    <col min="8" max="8" width="12.28515625" style="366" customWidth="1"/>
    <col min="9" max="9" width="12" style="366" customWidth="1"/>
    <col min="10" max="10" width="0.7109375" style="366" hidden="1" customWidth="1"/>
    <col min="11" max="11" width="8.42578125" style="366" customWidth="1"/>
    <col min="12" max="12" width="8.140625" style="366" customWidth="1"/>
    <col min="13" max="13" width="13.140625" style="385" customWidth="1"/>
    <col min="14" max="14" width="12.28515625" style="366" customWidth="1"/>
    <col min="15" max="15" width="11.85546875" style="366" customWidth="1"/>
    <col min="16" max="16" width="11.7109375" style="366" customWidth="1"/>
    <col min="17" max="16384" width="8.85546875" style="366"/>
  </cols>
  <sheetData>
    <row r="1" spans="1:14" s="673" customFormat="1" ht="22.5" customHeight="1" thickTop="1" thickBot="1" x14ac:dyDescent="0.55000000000000004">
      <c r="A1" s="3477" t="s">
        <v>1056</v>
      </c>
      <c r="B1" s="3477"/>
      <c r="C1" s="3477"/>
      <c r="D1" s="3477"/>
      <c r="E1" s="3477"/>
      <c r="F1" s="3477"/>
      <c r="G1" s="3477"/>
      <c r="H1" s="3477"/>
      <c r="I1" s="3477"/>
      <c r="J1" s="3477"/>
      <c r="K1" s="2318" t="s">
        <v>340</v>
      </c>
      <c r="L1" s="3475">
        <v>45653</v>
      </c>
      <c r="M1" s="3476"/>
    </row>
    <row r="2" spans="1:14" ht="5.25" customHeight="1" thickTop="1" thickBot="1" x14ac:dyDescent="0.35">
      <c r="A2" s="383"/>
      <c r="B2" s="383"/>
      <c r="C2" s="383"/>
      <c r="D2" s="383"/>
      <c r="E2" s="383"/>
      <c r="F2" s="383"/>
      <c r="G2" s="383"/>
      <c r="H2" s="383"/>
      <c r="I2" s="383"/>
      <c r="J2" s="831"/>
      <c r="K2" s="3457"/>
      <c r="L2" s="3457"/>
      <c r="M2" s="383"/>
    </row>
    <row r="3" spans="1:14" s="673" customFormat="1" ht="22.5" customHeight="1" thickTop="1" x14ac:dyDescent="0.5">
      <c r="A3" s="2310"/>
      <c r="B3" s="2311" t="s">
        <v>29</v>
      </c>
      <c r="C3" s="3439" t="s">
        <v>67</v>
      </c>
      <c r="D3" s="3440"/>
      <c r="E3" s="3441"/>
      <c r="F3" s="3447" t="s">
        <v>613</v>
      </c>
      <c r="G3" s="3442" t="s">
        <v>58</v>
      </c>
      <c r="H3" s="3443"/>
      <c r="I3" s="3443"/>
      <c r="J3" s="3443"/>
      <c r="K3" s="3443"/>
      <c r="L3" s="3443"/>
      <c r="M3" s="3444" t="s">
        <v>612</v>
      </c>
    </row>
    <row r="4" spans="1:14" s="385" customFormat="1" x14ac:dyDescent="0.3">
      <c r="A4" s="1643" t="s">
        <v>0</v>
      </c>
      <c r="B4" s="444" t="s">
        <v>942</v>
      </c>
      <c r="C4" s="444" t="s">
        <v>68</v>
      </c>
      <c r="D4" s="3464" t="s">
        <v>904</v>
      </c>
      <c r="E4" s="3449" t="s">
        <v>28</v>
      </c>
      <c r="F4" s="3448"/>
      <c r="G4" s="1640" t="s">
        <v>64</v>
      </c>
      <c r="H4" s="493" t="s">
        <v>34</v>
      </c>
      <c r="I4" s="444" t="s">
        <v>62</v>
      </c>
      <c r="J4" s="444" t="s">
        <v>71</v>
      </c>
      <c r="K4" s="444" t="s">
        <v>71</v>
      </c>
      <c r="L4" s="445" t="s">
        <v>73</v>
      </c>
      <c r="M4" s="3445"/>
    </row>
    <row r="5" spans="1:14" s="385" customFormat="1" ht="24.75" customHeight="1" x14ac:dyDescent="0.3">
      <c r="A5" s="1644"/>
      <c r="B5" s="444"/>
      <c r="C5" s="444" t="s">
        <v>111</v>
      </c>
      <c r="D5" s="3465"/>
      <c r="E5" s="3450"/>
      <c r="F5" s="518"/>
      <c r="G5" s="1641"/>
      <c r="H5" s="493"/>
      <c r="I5" s="444"/>
      <c r="J5" s="3452" t="s">
        <v>64</v>
      </c>
      <c r="K5" s="444" t="s">
        <v>72</v>
      </c>
      <c r="L5" s="445" t="s">
        <v>62</v>
      </c>
      <c r="M5" s="3445"/>
    </row>
    <row r="6" spans="1:14" s="385" customFormat="1" ht="10.5" customHeight="1" x14ac:dyDescent="0.3">
      <c r="A6" s="1645"/>
      <c r="B6" s="446"/>
      <c r="C6" s="446"/>
      <c r="D6" s="517"/>
      <c r="E6" s="3451"/>
      <c r="F6" s="447"/>
      <c r="G6" s="1642"/>
      <c r="H6" s="483"/>
      <c r="I6" s="446"/>
      <c r="J6" s="3453"/>
      <c r="K6" s="446"/>
      <c r="L6" s="1808"/>
      <c r="M6" s="3446"/>
    </row>
    <row r="7" spans="1:14" s="449" customFormat="1" ht="22.5" customHeight="1" x14ac:dyDescent="0.5">
      <c r="A7" s="3043" t="s">
        <v>1030</v>
      </c>
      <c r="B7" s="3044">
        <v>27868600</v>
      </c>
      <c r="C7" s="3044">
        <v>1268900</v>
      </c>
      <c r="D7" s="3044">
        <v>0</v>
      </c>
      <c r="E7" s="3045">
        <v>1268900</v>
      </c>
      <c r="F7" s="3046">
        <v>26599700</v>
      </c>
      <c r="G7" s="3047">
        <v>3602733.73</v>
      </c>
      <c r="H7" s="3044">
        <v>1436762.55</v>
      </c>
      <c r="I7" s="3044">
        <v>2165970.1799999997</v>
      </c>
      <c r="J7" s="3044">
        <v>0</v>
      </c>
      <c r="K7" s="3048">
        <v>13.445109115074501</v>
      </c>
      <c r="L7" s="3048">
        <v>22.330050359953553</v>
      </c>
      <c r="M7" s="3045">
        <v>22996966.27</v>
      </c>
      <c r="N7" s="2347"/>
    </row>
    <row r="8" spans="1:14" ht="20.100000000000001" customHeight="1" x14ac:dyDescent="0.3">
      <c r="A8" s="2924" t="s">
        <v>1032</v>
      </c>
      <c r="B8" s="2925">
        <v>20851700</v>
      </c>
      <c r="C8" s="2925">
        <v>1268900</v>
      </c>
      <c r="D8" s="2925">
        <v>0</v>
      </c>
      <c r="E8" s="2926">
        <v>1268900</v>
      </c>
      <c r="F8" s="2927">
        <v>19582800</v>
      </c>
      <c r="G8" s="2928">
        <v>3548976.45</v>
      </c>
      <c r="H8" s="2925">
        <v>1427882.55</v>
      </c>
      <c r="I8" s="2925">
        <v>2121092.9</v>
      </c>
      <c r="J8" s="2925">
        <v>0</v>
      </c>
      <c r="K8" s="2929">
        <v>13.318557503964183</v>
      </c>
      <c r="L8" s="2929">
        <v>21.690490440330926</v>
      </c>
      <c r="M8" s="2930">
        <v>16033823.550000001</v>
      </c>
      <c r="N8" s="406"/>
    </row>
    <row r="9" spans="1:14" ht="20.100000000000001" customHeight="1" x14ac:dyDescent="0.3">
      <c r="A9" s="2373" t="s">
        <v>1033</v>
      </c>
      <c r="B9" s="937">
        <v>11989900</v>
      </c>
      <c r="C9" s="937">
        <v>1268900</v>
      </c>
      <c r="D9" s="2374"/>
      <c r="E9" s="2375">
        <v>1268900</v>
      </c>
      <c r="F9" s="2376">
        <v>10721000</v>
      </c>
      <c r="G9" s="2377">
        <v>2574976.4500000002</v>
      </c>
      <c r="H9" s="2378">
        <v>1427882.55</v>
      </c>
      <c r="I9" s="937">
        <v>1147092.8999999999</v>
      </c>
      <c r="J9" s="2379"/>
      <c r="K9" s="2379">
        <v>13.318557503964183</v>
      </c>
      <c r="L9" s="2380">
        <v>10.699495382893385</v>
      </c>
      <c r="M9" s="2381">
        <v>8146023.5499999998</v>
      </c>
      <c r="N9" s="406"/>
    </row>
    <row r="10" spans="1:14" ht="20.100000000000001" customHeight="1" x14ac:dyDescent="0.3">
      <c r="A10" s="2931" t="s">
        <v>1034</v>
      </c>
      <c r="B10" s="937">
        <v>8861800</v>
      </c>
      <c r="C10" s="937">
        <v>0</v>
      </c>
      <c r="D10" s="2374">
        <v>0</v>
      </c>
      <c r="E10" s="2673">
        <v>0</v>
      </c>
      <c r="F10" s="2674">
        <v>8861800</v>
      </c>
      <c r="G10" s="2675">
        <v>974000</v>
      </c>
      <c r="H10" s="937">
        <v>0</v>
      </c>
      <c r="I10" s="2378">
        <v>974000</v>
      </c>
      <c r="J10" s="2379"/>
      <c r="K10" s="2379">
        <v>0</v>
      </c>
      <c r="L10" s="2380">
        <v>10.990995057437541</v>
      </c>
      <c r="M10" s="2381">
        <v>7887800</v>
      </c>
      <c r="N10" s="406"/>
    </row>
    <row r="11" spans="1:14" ht="20.100000000000001" customHeight="1" x14ac:dyDescent="0.3">
      <c r="A11" s="2924" t="s">
        <v>1035</v>
      </c>
      <c r="B11" s="2925">
        <v>7016900</v>
      </c>
      <c r="C11" s="2925">
        <v>0</v>
      </c>
      <c r="D11" s="2925">
        <v>0</v>
      </c>
      <c r="E11" s="2925">
        <v>0</v>
      </c>
      <c r="F11" s="2927">
        <v>7016900</v>
      </c>
      <c r="G11" s="2932">
        <v>53757.279999999999</v>
      </c>
      <c r="H11" s="2928">
        <v>8880</v>
      </c>
      <c r="I11" s="2928">
        <v>44877.279999999999</v>
      </c>
      <c r="J11" s="2929"/>
      <c r="K11" s="2929">
        <v>0.12655161111031937</v>
      </c>
      <c r="L11" s="2933">
        <v>0.63955991962262537</v>
      </c>
      <c r="M11" s="2930">
        <v>6963142.7199999997</v>
      </c>
      <c r="N11" s="406"/>
    </row>
    <row r="12" spans="1:14" ht="20.100000000000001" customHeight="1" x14ac:dyDescent="0.3">
      <c r="A12" s="2918" t="s">
        <v>1036</v>
      </c>
      <c r="B12" s="2919">
        <v>951300</v>
      </c>
      <c r="C12" s="2919">
        <v>0</v>
      </c>
      <c r="D12" s="2919">
        <v>0</v>
      </c>
      <c r="E12" s="2673">
        <v>0</v>
      </c>
      <c r="F12" s="2674">
        <v>951300</v>
      </c>
      <c r="G12" s="2922">
        <v>53757.279999999999</v>
      </c>
      <c r="H12" s="2920">
        <v>8880</v>
      </c>
      <c r="I12" s="2920">
        <v>44877.279999999999</v>
      </c>
      <c r="J12" s="2921"/>
      <c r="K12" s="2379">
        <v>0.93345947650583416</v>
      </c>
      <c r="L12" s="2380">
        <v>4.7174687270051505</v>
      </c>
      <c r="M12" s="2381">
        <v>897542.72</v>
      </c>
      <c r="N12" s="406"/>
    </row>
    <row r="13" spans="1:14" ht="20.100000000000001" customHeight="1" x14ac:dyDescent="0.3">
      <c r="A13" s="2934" t="s">
        <v>1038</v>
      </c>
      <c r="B13" s="372">
        <v>31000</v>
      </c>
      <c r="C13" s="526">
        <v>0</v>
      </c>
      <c r="D13" s="526">
        <v>0</v>
      </c>
      <c r="E13" s="526">
        <v>0</v>
      </c>
      <c r="F13" s="2969">
        <v>31000</v>
      </c>
      <c r="G13" s="2250">
        <v>30000</v>
      </c>
      <c r="H13" s="2251">
        <v>0</v>
      </c>
      <c r="I13" s="2251">
        <v>30000</v>
      </c>
      <c r="J13" s="2252"/>
      <c r="K13" s="2252">
        <v>0</v>
      </c>
      <c r="L13" s="2253">
        <v>96.774193548387103</v>
      </c>
      <c r="M13" s="2231">
        <v>1000</v>
      </c>
      <c r="N13" s="406"/>
    </row>
    <row r="14" spans="1:14" ht="20.100000000000001" customHeight="1" x14ac:dyDescent="0.3">
      <c r="A14" s="2934" t="s">
        <v>1037</v>
      </c>
      <c r="B14" s="372">
        <v>5000</v>
      </c>
      <c r="C14" s="526">
        <v>0</v>
      </c>
      <c r="D14" s="526">
        <v>0</v>
      </c>
      <c r="E14" s="526">
        <v>0</v>
      </c>
      <c r="F14" s="2969">
        <v>5000</v>
      </c>
      <c r="G14" s="2250">
        <v>4880</v>
      </c>
      <c r="H14" s="2251">
        <v>4880</v>
      </c>
      <c r="I14" s="2251">
        <v>0</v>
      </c>
      <c r="J14" s="2252"/>
      <c r="K14" s="2252">
        <v>97.6</v>
      </c>
      <c r="L14" s="2253">
        <v>0</v>
      </c>
      <c r="M14" s="2231">
        <v>120</v>
      </c>
      <c r="N14" s="406"/>
    </row>
    <row r="15" spans="1:14" ht="20.100000000000001" customHeight="1" x14ac:dyDescent="0.3">
      <c r="A15" s="2934" t="s">
        <v>1039</v>
      </c>
      <c r="B15" s="372">
        <v>16700</v>
      </c>
      <c r="C15" s="526">
        <v>0</v>
      </c>
      <c r="D15" s="526">
        <v>0</v>
      </c>
      <c r="E15" s="526">
        <v>0</v>
      </c>
      <c r="F15" s="2969">
        <v>16700</v>
      </c>
      <c r="G15" s="2250">
        <v>0</v>
      </c>
      <c r="H15" s="2251">
        <v>0</v>
      </c>
      <c r="I15" s="2251">
        <v>0</v>
      </c>
      <c r="J15" s="2252"/>
      <c r="K15" s="2252">
        <v>0</v>
      </c>
      <c r="L15" s="2253">
        <v>0</v>
      </c>
      <c r="M15" s="2231">
        <v>16700</v>
      </c>
      <c r="N15" s="406"/>
    </row>
    <row r="16" spans="1:14" ht="20.100000000000001" customHeight="1" x14ac:dyDescent="0.3">
      <c r="A16" s="2934" t="s">
        <v>1040</v>
      </c>
      <c r="B16" s="372">
        <v>4000</v>
      </c>
      <c r="C16" s="526">
        <v>0</v>
      </c>
      <c r="D16" s="526">
        <v>0</v>
      </c>
      <c r="E16" s="526">
        <v>0</v>
      </c>
      <c r="F16" s="2969">
        <v>4000</v>
      </c>
      <c r="G16" s="2250">
        <v>4000</v>
      </c>
      <c r="H16" s="2251">
        <v>4000</v>
      </c>
      <c r="I16" s="2251">
        <v>0</v>
      </c>
      <c r="J16" s="2252"/>
      <c r="K16" s="2252">
        <v>100</v>
      </c>
      <c r="L16" s="2253">
        <v>0</v>
      </c>
      <c r="M16" s="2231">
        <v>0</v>
      </c>
      <c r="N16" s="406"/>
    </row>
    <row r="17" spans="1:14" ht="20.100000000000001" customHeight="1" x14ac:dyDescent="0.3">
      <c r="A17" s="2934" t="s">
        <v>1041</v>
      </c>
      <c r="B17" s="372">
        <v>16000</v>
      </c>
      <c r="C17" s="526">
        <v>0</v>
      </c>
      <c r="D17" s="526">
        <v>0</v>
      </c>
      <c r="E17" s="526">
        <v>0</v>
      </c>
      <c r="F17" s="2969">
        <v>16000</v>
      </c>
      <c r="G17" s="2250">
        <v>14877.28</v>
      </c>
      <c r="H17" s="2251">
        <v>0</v>
      </c>
      <c r="I17" s="2251">
        <v>14877.28</v>
      </c>
      <c r="J17" s="2252"/>
      <c r="K17" s="2252">
        <v>0</v>
      </c>
      <c r="L17" s="2253">
        <v>92.983000000000004</v>
      </c>
      <c r="M17" s="2231">
        <v>1122.7199999999993</v>
      </c>
      <c r="N17" s="406"/>
    </row>
    <row r="18" spans="1:14" s="1062" customFormat="1" ht="20.100000000000001" customHeight="1" x14ac:dyDescent="0.3">
      <c r="A18" s="3034" t="s">
        <v>1042</v>
      </c>
      <c r="B18" s="372">
        <v>349600</v>
      </c>
      <c r="C18" s="526">
        <v>0</v>
      </c>
      <c r="D18" s="526">
        <v>0</v>
      </c>
      <c r="E18" s="526">
        <v>0</v>
      </c>
      <c r="F18" s="2969">
        <v>349600</v>
      </c>
      <c r="G18" s="2250">
        <v>0</v>
      </c>
      <c r="H18" s="2251">
        <v>0</v>
      </c>
      <c r="I18" s="2251">
        <v>0</v>
      </c>
      <c r="J18" s="2252"/>
      <c r="K18" s="2252">
        <v>0</v>
      </c>
      <c r="L18" s="2253">
        <v>0</v>
      </c>
      <c r="M18" s="2231">
        <v>349600</v>
      </c>
      <c r="N18" s="406"/>
    </row>
    <row r="19" spans="1:14" ht="20.100000000000001" customHeight="1" x14ac:dyDescent="0.3">
      <c r="A19" s="2934" t="s">
        <v>1043</v>
      </c>
      <c r="B19" s="372">
        <v>216000</v>
      </c>
      <c r="C19" s="526">
        <v>0</v>
      </c>
      <c r="D19" s="526">
        <v>0</v>
      </c>
      <c r="E19" s="526">
        <v>0</v>
      </c>
      <c r="F19" s="2969">
        <v>216000</v>
      </c>
      <c r="G19" s="2250">
        <v>0</v>
      </c>
      <c r="H19" s="2251">
        <v>0</v>
      </c>
      <c r="I19" s="2251">
        <v>0</v>
      </c>
      <c r="J19" s="2252"/>
      <c r="K19" s="2252">
        <v>0</v>
      </c>
      <c r="L19" s="2253">
        <v>0</v>
      </c>
      <c r="M19" s="2231">
        <v>216000</v>
      </c>
      <c r="N19" s="406" t="s">
        <v>969</v>
      </c>
    </row>
    <row r="20" spans="1:14" ht="20.100000000000001" customHeight="1" x14ac:dyDescent="0.3">
      <c r="A20" s="2934" t="s">
        <v>1044</v>
      </c>
      <c r="B20" s="372">
        <v>6000</v>
      </c>
      <c r="C20" s="526">
        <v>0</v>
      </c>
      <c r="D20" s="526">
        <v>0</v>
      </c>
      <c r="E20" s="526">
        <v>0</v>
      </c>
      <c r="F20" s="2969">
        <v>6000</v>
      </c>
      <c r="G20" s="2250">
        <v>0</v>
      </c>
      <c r="H20" s="2251">
        <v>0</v>
      </c>
      <c r="I20" s="2251">
        <v>0</v>
      </c>
      <c r="J20" s="2252"/>
      <c r="K20" s="2252">
        <v>0</v>
      </c>
      <c r="L20" s="2253">
        <v>0</v>
      </c>
      <c r="M20" s="2231">
        <v>6000</v>
      </c>
      <c r="N20" s="406"/>
    </row>
    <row r="21" spans="1:14" ht="20.100000000000001" customHeight="1" x14ac:dyDescent="0.3">
      <c r="A21" s="2934" t="s">
        <v>1045</v>
      </c>
      <c r="B21" s="372">
        <v>89100</v>
      </c>
      <c r="C21" s="526">
        <v>0</v>
      </c>
      <c r="D21" s="526">
        <v>0</v>
      </c>
      <c r="E21" s="526">
        <v>0</v>
      </c>
      <c r="F21" s="2969">
        <v>89100</v>
      </c>
      <c r="G21" s="2250">
        <v>0</v>
      </c>
      <c r="H21" s="2251">
        <v>0</v>
      </c>
      <c r="I21" s="2251">
        <v>0</v>
      </c>
      <c r="J21" s="2252"/>
      <c r="K21" s="2252">
        <v>0</v>
      </c>
      <c r="L21" s="2253">
        <v>0</v>
      </c>
      <c r="M21" s="2231">
        <v>89100</v>
      </c>
      <c r="N21" s="406"/>
    </row>
    <row r="22" spans="1:14" ht="20.100000000000001" customHeight="1" x14ac:dyDescent="0.3">
      <c r="A22" s="2934" t="s">
        <v>984</v>
      </c>
      <c r="B22" s="372">
        <v>5000</v>
      </c>
      <c r="C22" s="526">
        <v>0</v>
      </c>
      <c r="D22" s="526">
        <v>0</v>
      </c>
      <c r="E22" s="526">
        <v>0</v>
      </c>
      <c r="F22" s="2969">
        <v>5000</v>
      </c>
      <c r="G22" s="2250">
        <v>0</v>
      </c>
      <c r="H22" s="2251">
        <v>0</v>
      </c>
      <c r="I22" s="2251">
        <v>0</v>
      </c>
      <c r="J22" s="2252"/>
      <c r="K22" s="2252">
        <v>0</v>
      </c>
      <c r="L22" s="2253">
        <v>0</v>
      </c>
      <c r="M22" s="2231">
        <v>5000</v>
      </c>
      <c r="N22" s="406"/>
    </row>
    <row r="23" spans="1:14" ht="20.100000000000001" customHeight="1" x14ac:dyDescent="0.3">
      <c r="A23" s="2934" t="s">
        <v>985</v>
      </c>
      <c r="B23" s="372">
        <v>5000</v>
      </c>
      <c r="C23" s="526">
        <v>0</v>
      </c>
      <c r="D23" s="526">
        <v>0</v>
      </c>
      <c r="E23" s="526">
        <v>0</v>
      </c>
      <c r="F23" s="2969">
        <v>5000</v>
      </c>
      <c r="G23" s="2250">
        <v>0</v>
      </c>
      <c r="H23" s="2251">
        <v>0</v>
      </c>
      <c r="I23" s="2251">
        <v>0</v>
      </c>
      <c r="J23" s="2252"/>
      <c r="K23" s="2252">
        <v>0</v>
      </c>
      <c r="L23" s="2253">
        <v>0</v>
      </c>
      <c r="M23" s="2231">
        <v>5000</v>
      </c>
      <c r="N23" s="406"/>
    </row>
    <row r="24" spans="1:14" ht="20.100000000000001" customHeight="1" x14ac:dyDescent="0.3">
      <c r="A24" s="2934" t="s">
        <v>986</v>
      </c>
      <c r="B24" s="372">
        <v>10400</v>
      </c>
      <c r="C24" s="526">
        <v>0</v>
      </c>
      <c r="D24" s="526">
        <v>0</v>
      </c>
      <c r="E24" s="526">
        <v>0</v>
      </c>
      <c r="F24" s="2969">
        <v>10400</v>
      </c>
      <c r="G24" s="2250">
        <v>0</v>
      </c>
      <c r="H24" s="2251">
        <v>0</v>
      </c>
      <c r="I24" s="2251">
        <v>0</v>
      </c>
      <c r="J24" s="2252"/>
      <c r="K24" s="2252">
        <v>0</v>
      </c>
      <c r="L24" s="2253">
        <v>0</v>
      </c>
      <c r="M24" s="2231">
        <v>10400</v>
      </c>
      <c r="N24" s="406"/>
    </row>
    <row r="25" spans="1:14" ht="20.100000000000001" customHeight="1" x14ac:dyDescent="0.3">
      <c r="A25" s="2934" t="s">
        <v>987</v>
      </c>
      <c r="B25" s="372">
        <v>18000</v>
      </c>
      <c r="C25" s="526">
        <v>0</v>
      </c>
      <c r="D25" s="526">
        <v>0</v>
      </c>
      <c r="E25" s="526">
        <v>0</v>
      </c>
      <c r="F25" s="2969">
        <v>18000</v>
      </c>
      <c r="G25" s="2250">
        <v>0</v>
      </c>
      <c r="H25" s="2251">
        <v>0</v>
      </c>
      <c r="I25" s="2251">
        <v>0</v>
      </c>
      <c r="J25" s="2252"/>
      <c r="K25" s="2252">
        <v>0</v>
      </c>
      <c r="L25" s="2253">
        <v>0</v>
      </c>
      <c r="M25" s="2231">
        <v>18000</v>
      </c>
      <c r="N25" s="406"/>
    </row>
    <row r="26" spans="1:14" ht="20.100000000000001" customHeight="1" x14ac:dyDescent="0.3">
      <c r="A26" s="2935" t="s">
        <v>988</v>
      </c>
      <c r="B26" s="372">
        <v>22500</v>
      </c>
      <c r="C26" s="526">
        <v>0</v>
      </c>
      <c r="D26" s="526">
        <v>0</v>
      </c>
      <c r="E26" s="526">
        <v>0</v>
      </c>
      <c r="F26" s="2969">
        <v>22500</v>
      </c>
      <c r="G26" s="2250">
        <v>0</v>
      </c>
      <c r="H26" s="2251">
        <v>0</v>
      </c>
      <c r="I26" s="2251">
        <v>0</v>
      </c>
      <c r="J26" s="2252"/>
      <c r="K26" s="2252">
        <v>0</v>
      </c>
      <c r="L26" s="2253">
        <v>0</v>
      </c>
      <c r="M26" s="2231">
        <v>22500</v>
      </c>
      <c r="N26" s="406"/>
    </row>
    <row r="27" spans="1:14" ht="20.100000000000001" customHeight="1" x14ac:dyDescent="0.3">
      <c r="A27" s="2936" t="s">
        <v>989</v>
      </c>
      <c r="B27" s="372">
        <v>110500</v>
      </c>
      <c r="C27" s="526">
        <v>0</v>
      </c>
      <c r="D27" s="526">
        <v>0</v>
      </c>
      <c r="E27" s="526">
        <v>0</v>
      </c>
      <c r="F27" s="2969">
        <v>110500</v>
      </c>
      <c r="G27" s="2250">
        <v>0</v>
      </c>
      <c r="H27" s="2251">
        <v>0</v>
      </c>
      <c r="I27" s="2251">
        <v>0</v>
      </c>
      <c r="J27" s="2252"/>
      <c r="K27" s="2252">
        <v>0</v>
      </c>
      <c r="L27" s="2253">
        <v>0</v>
      </c>
      <c r="M27" s="2231">
        <v>110500</v>
      </c>
      <c r="N27" s="406"/>
    </row>
    <row r="28" spans="1:14" ht="20.100000000000001" customHeight="1" x14ac:dyDescent="0.3">
      <c r="A28" s="2934" t="s">
        <v>990</v>
      </c>
      <c r="B28" s="372">
        <v>46500</v>
      </c>
      <c r="C28" s="526">
        <v>0</v>
      </c>
      <c r="D28" s="526">
        <v>0</v>
      </c>
      <c r="E28" s="526">
        <v>0</v>
      </c>
      <c r="F28" s="2969">
        <v>46500</v>
      </c>
      <c r="G28" s="2250">
        <v>0</v>
      </c>
      <c r="H28" s="2251">
        <v>0</v>
      </c>
      <c r="I28" s="2251">
        <v>0</v>
      </c>
      <c r="J28" s="2252"/>
      <c r="K28" s="2252">
        <v>0</v>
      </c>
      <c r="L28" s="2253">
        <v>0</v>
      </c>
      <c r="M28" s="2231">
        <v>46500</v>
      </c>
      <c r="N28" s="406"/>
    </row>
    <row r="29" spans="1:14" s="673" customFormat="1" ht="34.5" customHeight="1" thickBot="1" x14ac:dyDescent="0.55000000000000004">
      <c r="A29" s="3013" t="s">
        <v>983</v>
      </c>
      <c r="B29" s="3014">
        <v>6065600</v>
      </c>
      <c r="C29" s="3015"/>
      <c r="D29" s="3015"/>
      <c r="E29" s="3016">
        <v>0</v>
      </c>
      <c r="F29" s="3017">
        <v>6065600</v>
      </c>
      <c r="G29" s="3018">
        <v>0</v>
      </c>
      <c r="H29" s="3019">
        <v>0</v>
      </c>
      <c r="I29" s="3019">
        <v>0</v>
      </c>
      <c r="J29" s="3020"/>
      <c r="K29" s="3020">
        <v>0</v>
      </c>
      <c r="L29" s="3021">
        <v>0</v>
      </c>
      <c r="M29" s="3022">
        <v>6065600</v>
      </c>
      <c r="N29" s="2347"/>
    </row>
    <row r="30" spans="1:14" s="673" customFormat="1" ht="18.75" customHeight="1" thickTop="1" x14ac:dyDescent="0.5">
      <c r="A30" s="3036" t="s">
        <v>1031</v>
      </c>
      <c r="B30" s="3037">
        <v>90058800</v>
      </c>
      <c r="C30" s="3037">
        <v>62795500</v>
      </c>
      <c r="D30" s="3037">
        <v>2732400</v>
      </c>
      <c r="E30" s="3038">
        <v>65527900</v>
      </c>
      <c r="F30" s="3039">
        <v>24530900</v>
      </c>
      <c r="G30" s="3040">
        <v>2960286.8</v>
      </c>
      <c r="H30" s="3037">
        <v>843186</v>
      </c>
      <c r="I30" s="3037">
        <v>2117100.7999999998</v>
      </c>
      <c r="J30" s="3041"/>
      <c r="K30" s="3041">
        <v>3.4372403784614507</v>
      </c>
      <c r="L30" s="3041">
        <v>8.6303429552115887</v>
      </c>
      <c r="M30" s="3042">
        <v>21570613.199999999</v>
      </c>
      <c r="N30" s="2347"/>
    </row>
    <row r="31" spans="1:14" s="595" customFormat="1" ht="20.100000000000001" customHeight="1" x14ac:dyDescent="0.3">
      <c r="A31" s="3069" t="s">
        <v>861</v>
      </c>
      <c r="B31" s="3070">
        <v>86081800</v>
      </c>
      <c r="C31" s="3070">
        <v>62795500</v>
      </c>
      <c r="D31" s="3070">
        <v>2732400</v>
      </c>
      <c r="E31" s="3071">
        <v>65527900</v>
      </c>
      <c r="F31" s="3072">
        <v>20553900</v>
      </c>
      <c r="G31" s="3073">
        <v>1966436.8</v>
      </c>
      <c r="H31" s="3074">
        <v>843186</v>
      </c>
      <c r="I31" s="3074">
        <v>1123250.8</v>
      </c>
      <c r="J31" s="3075"/>
      <c r="K31" s="3075">
        <v>4.1023163487221401</v>
      </c>
      <c r="L31" s="3076">
        <v>5.4649034976330526</v>
      </c>
      <c r="M31" s="3077">
        <v>18587463.199999999</v>
      </c>
      <c r="N31" s="2669"/>
    </row>
    <row r="32" spans="1:14" ht="36" customHeight="1" x14ac:dyDescent="0.3">
      <c r="A32" s="2802" t="s">
        <v>943</v>
      </c>
      <c r="B32" s="3091">
        <v>79914000</v>
      </c>
      <c r="C32" s="2712">
        <v>56753500</v>
      </c>
      <c r="D32" s="2712">
        <v>2732400</v>
      </c>
      <c r="E32" s="2859">
        <v>59485900</v>
      </c>
      <c r="F32" s="2860">
        <v>20428100</v>
      </c>
      <c r="G32" s="2710">
        <v>1966436.8</v>
      </c>
      <c r="H32" s="2713">
        <v>843186</v>
      </c>
      <c r="I32" s="2713">
        <v>1123250.8</v>
      </c>
      <c r="J32" s="2714"/>
      <c r="K32" s="2714">
        <v>4.1275791679108682</v>
      </c>
      <c r="L32" s="2715">
        <v>5.4985573792961659</v>
      </c>
      <c r="M32" s="2716">
        <v>18461663.199999999</v>
      </c>
      <c r="N32" s="406"/>
    </row>
    <row r="33" spans="1:15" s="595" customFormat="1" ht="15.75" customHeight="1" x14ac:dyDescent="0.3">
      <c r="A33" s="3049" t="s">
        <v>944</v>
      </c>
      <c r="B33" s="3050">
        <v>6700400</v>
      </c>
      <c r="C33" s="3050"/>
      <c r="D33" s="3050"/>
      <c r="E33" s="3051">
        <v>0</v>
      </c>
      <c r="F33" s="3052">
        <v>6700400</v>
      </c>
      <c r="G33" s="3053">
        <v>182736</v>
      </c>
      <c r="H33" s="3054">
        <v>119516</v>
      </c>
      <c r="I33" s="3054">
        <v>63220</v>
      </c>
      <c r="J33" s="3055"/>
      <c r="K33" s="3055">
        <v>1.7837144051101428</v>
      </c>
      <c r="L33" s="3056">
        <v>0.94352575965613994</v>
      </c>
      <c r="M33" s="3057">
        <v>6517664</v>
      </c>
      <c r="N33" s="2669"/>
    </row>
    <row r="34" spans="1:15" s="595" customFormat="1" ht="20.100000000000001" customHeight="1" x14ac:dyDescent="0.3">
      <c r="A34" s="2801" t="s">
        <v>994</v>
      </c>
      <c r="B34" s="3078">
        <v>3876200</v>
      </c>
      <c r="C34" s="526"/>
      <c r="D34" s="526"/>
      <c r="E34" s="396">
        <v>0</v>
      </c>
      <c r="F34" s="823">
        <v>3876200</v>
      </c>
      <c r="G34" s="2250">
        <v>19650</v>
      </c>
      <c r="H34" s="2251">
        <v>0</v>
      </c>
      <c r="I34" s="2251">
        <v>19650</v>
      </c>
      <c r="J34" s="2252"/>
      <c r="K34" s="2252">
        <v>0</v>
      </c>
      <c r="L34" s="2253">
        <v>0.50693978638873127</v>
      </c>
      <c r="M34" s="2231">
        <v>3856550</v>
      </c>
      <c r="N34" s="406"/>
    </row>
    <row r="35" spans="1:15" s="595" customFormat="1" ht="20.100000000000001" customHeight="1" x14ac:dyDescent="0.3">
      <c r="A35" s="2288" t="s">
        <v>995</v>
      </c>
      <c r="B35" s="3078">
        <v>1030000</v>
      </c>
      <c r="C35" s="526"/>
      <c r="D35" s="526"/>
      <c r="E35" s="396">
        <v>0</v>
      </c>
      <c r="F35" s="823">
        <v>1030000</v>
      </c>
      <c r="G35" s="2250">
        <v>28570</v>
      </c>
      <c r="H35" s="2251">
        <v>0</v>
      </c>
      <c r="I35" s="2251">
        <v>28570</v>
      </c>
      <c r="J35" s="2252"/>
      <c r="K35" s="2252">
        <v>0</v>
      </c>
      <c r="L35" s="2253">
        <v>2.7737864077669903</v>
      </c>
      <c r="M35" s="2231">
        <v>1001430</v>
      </c>
      <c r="N35" s="406"/>
    </row>
    <row r="36" spans="1:15" s="595" customFormat="1" ht="35.25" customHeight="1" x14ac:dyDescent="0.3">
      <c r="A36" s="2831" t="s">
        <v>1046</v>
      </c>
      <c r="B36" s="3079">
        <v>1794200</v>
      </c>
      <c r="C36" s="526"/>
      <c r="D36" s="526"/>
      <c r="E36" s="396">
        <v>0</v>
      </c>
      <c r="F36" s="2858">
        <v>1794200</v>
      </c>
      <c r="G36" s="2804">
        <v>134516</v>
      </c>
      <c r="H36" s="2803">
        <v>119516</v>
      </c>
      <c r="I36" s="2803">
        <v>15000</v>
      </c>
      <c r="J36" s="2739"/>
      <c r="K36" s="2739">
        <v>6.6612417790658789</v>
      </c>
      <c r="L36" s="652">
        <v>0.83602719875153275</v>
      </c>
      <c r="M36" s="2350">
        <v>1659684</v>
      </c>
      <c r="N36" s="406"/>
    </row>
    <row r="37" spans="1:15" s="449" customFormat="1" ht="20.25" customHeight="1" x14ac:dyDescent="0.5">
      <c r="A37" s="2717" t="s">
        <v>24</v>
      </c>
      <c r="B37" s="2734"/>
      <c r="C37" s="2734"/>
      <c r="D37" s="2735"/>
      <c r="E37" s="2736"/>
      <c r="F37" s="2948">
        <v>1659684</v>
      </c>
      <c r="G37" s="951">
        <v>0</v>
      </c>
      <c r="H37" s="3024">
        <v>0</v>
      </c>
      <c r="I37" s="3025">
        <v>0</v>
      </c>
      <c r="J37" s="3026"/>
      <c r="K37" s="3026">
        <v>0</v>
      </c>
      <c r="L37" s="2854">
        <v>0</v>
      </c>
      <c r="M37" s="2350">
        <v>1659684</v>
      </c>
    </row>
    <row r="38" spans="1:15" s="449" customFormat="1" ht="18.75" customHeight="1" x14ac:dyDescent="0.5">
      <c r="A38" s="2717" t="s">
        <v>1047</v>
      </c>
      <c r="B38" s="2857"/>
      <c r="C38" s="2857"/>
      <c r="D38" s="2949"/>
      <c r="E38" s="2736"/>
      <c r="F38" s="2948">
        <v>134516</v>
      </c>
      <c r="G38" s="951">
        <v>134516</v>
      </c>
      <c r="H38" s="3024">
        <v>119516</v>
      </c>
      <c r="I38" s="3025">
        <v>15000</v>
      </c>
      <c r="J38" s="3026"/>
      <c r="K38" s="3026">
        <v>88.848910166820303</v>
      </c>
      <c r="L38" s="2854">
        <v>11.151089833179697</v>
      </c>
      <c r="M38" s="2350">
        <v>0</v>
      </c>
    </row>
    <row r="39" spans="1:15" s="2426" customFormat="1" ht="19.5" customHeight="1" x14ac:dyDescent="0.5">
      <c r="A39" s="3080" t="s">
        <v>945</v>
      </c>
      <c r="B39" s="3058">
        <v>73213600</v>
      </c>
      <c r="C39" s="3081">
        <v>56753500</v>
      </c>
      <c r="D39" s="3081">
        <v>2732400</v>
      </c>
      <c r="E39" s="3082">
        <v>59485900</v>
      </c>
      <c r="F39" s="3083">
        <v>13727700</v>
      </c>
      <c r="G39" s="3084">
        <v>1783700.8</v>
      </c>
      <c r="H39" s="3083">
        <v>723670</v>
      </c>
      <c r="I39" s="3083">
        <v>1060030.8</v>
      </c>
      <c r="J39" s="3085"/>
      <c r="K39" s="3085">
        <v>5.2716041288781081</v>
      </c>
      <c r="L39" s="3086">
        <v>7.7218383268865143</v>
      </c>
      <c r="M39" s="3082">
        <v>11943999.199999999</v>
      </c>
      <c r="N39" s="1120"/>
      <c r="O39" s="1120"/>
    </row>
    <row r="40" spans="1:15" s="599" customFormat="1" ht="20.100000000000001" customHeight="1" x14ac:dyDescent="0.3">
      <c r="A40" s="2315" t="s">
        <v>970</v>
      </c>
      <c r="B40" s="3078">
        <v>6000000</v>
      </c>
      <c r="C40" s="526">
        <v>5060600</v>
      </c>
      <c r="D40" s="2701"/>
      <c r="E40" s="396">
        <v>5060600</v>
      </c>
      <c r="F40" s="2232">
        <v>939400</v>
      </c>
      <c r="G40" s="2702">
        <v>193643.3</v>
      </c>
      <c r="H40" s="2703">
        <v>47980</v>
      </c>
      <c r="I40" s="2855">
        <v>145663.29999999999</v>
      </c>
      <c r="J40" s="393"/>
      <c r="K40" s="393">
        <v>5.107515435384288</v>
      </c>
      <c r="L40" s="1809">
        <v>15.505993187140726</v>
      </c>
      <c r="M40" s="2231">
        <v>745756.7</v>
      </c>
      <c r="N40" s="385"/>
    </row>
    <row r="41" spans="1:15" ht="20.100000000000001" customHeight="1" x14ac:dyDescent="0.3">
      <c r="A41" s="2288" t="s">
        <v>3</v>
      </c>
      <c r="B41" s="373"/>
      <c r="C41" s="372"/>
      <c r="D41" s="1052"/>
      <c r="E41" s="396"/>
      <c r="F41" s="372">
        <v>367900</v>
      </c>
      <c r="G41" s="1741">
        <v>12040</v>
      </c>
      <c r="H41" s="2856">
        <v>0</v>
      </c>
      <c r="I41" s="400">
        <v>12040</v>
      </c>
      <c r="J41" s="388"/>
      <c r="K41" s="2744">
        <v>0</v>
      </c>
      <c r="L41" s="2363">
        <v>3.2726284316390322</v>
      </c>
      <c r="M41" s="2231">
        <v>355860</v>
      </c>
    </row>
    <row r="42" spans="1:15" ht="20.100000000000001" customHeight="1" x14ac:dyDescent="0.3">
      <c r="A42" s="2288" t="s">
        <v>20</v>
      </c>
      <c r="B42" s="373"/>
      <c r="C42" s="372"/>
      <c r="D42" s="1052"/>
      <c r="E42" s="396"/>
      <c r="F42" s="372">
        <v>571500</v>
      </c>
      <c r="G42" s="1741">
        <v>181603.3</v>
      </c>
      <c r="H42" s="2856">
        <v>47980</v>
      </c>
      <c r="I42" s="400">
        <v>133623.29999999999</v>
      </c>
      <c r="J42" s="2300"/>
      <c r="K42" s="2744">
        <v>8.3954505686789158</v>
      </c>
      <c r="L42" s="2363">
        <v>23.381154855643043</v>
      </c>
      <c r="M42" s="2231">
        <v>389896.7</v>
      </c>
    </row>
    <row r="43" spans="1:15" s="599" customFormat="1" ht="20.100000000000001" customHeight="1" x14ac:dyDescent="0.3">
      <c r="A43" s="2315" t="s">
        <v>972</v>
      </c>
      <c r="B43" s="3078">
        <v>4865500</v>
      </c>
      <c r="C43" s="526">
        <v>4389400</v>
      </c>
      <c r="D43" s="2701"/>
      <c r="E43" s="396">
        <v>4389400</v>
      </c>
      <c r="F43" s="1740">
        <v>476100</v>
      </c>
      <c r="G43" s="2702">
        <v>341986</v>
      </c>
      <c r="H43" s="2703">
        <v>30600</v>
      </c>
      <c r="I43" s="2855">
        <v>311386</v>
      </c>
      <c r="J43" s="393"/>
      <c r="K43" s="393">
        <v>6.4272211720226844</v>
      </c>
      <c r="L43" s="1809">
        <v>65.403486662465866</v>
      </c>
      <c r="M43" s="2231">
        <v>134114</v>
      </c>
      <c r="N43" s="385"/>
    </row>
    <row r="44" spans="1:15" s="601" customFormat="1" ht="21" customHeight="1" x14ac:dyDescent="0.5">
      <c r="A44" s="2316" t="s">
        <v>973</v>
      </c>
      <c r="B44" s="3087">
        <v>8539400</v>
      </c>
      <c r="C44" s="2734">
        <v>8063700</v>
      </c>
      <c r="D44" s="2735"/>
      <c r="E44" s="2736">
        <v>8063700</v>
      </c>
      <c r="F44" s="2737">
        <v>475700</v>
      </c>
      <c r="G44" s="2740">
        <v>361246</v>
      </c>
      <c r="H44" s="2734">
        <v>69862</v>
      </c>
      <c r="I44" s="2857">
        <v>291384</v>
      </c>
      <c r="J44" s="2853"/>
      <c r="K44" s="2853">
        <v>14.686146731133068</v>
      </c>
      <c r="L44" s="2854">
        <v>61.253731343283583</v>
      </c>
      <c r="M44" s="2350">
        <v>114454</v>
      </c>
      <c r="N44" s="449"/>
    </row>
    <row r="45" spans="1:15" ht="20.100000000000001" customHeight="1" x14ac:dyDescent="0.3">
      <c r="A45" s="2288" t="s">
        <v>1</v>
      </c>
      <c r="B45" s="373"/>
      <c r="C45" s="372"/>
      <c r="D45" s="399"/>
      <c r="E45" s="396"/>
      <c r="F45" s="2947">
        <v>280200</v>
      </c>
      <c r="G45" s="1741">
        <v>108780</v>
      </c>
      <c r="H45" s="485">
        <v>0</v>
      </c>
      <c r="I45" s="400">
        <v>108780</v>
      </c>
      <c r="J45" s="371"/>
      <c r="K45" s="371">
        <v>0</v>
      </c>
      <c r="L45" s="3029">
        <v>38.822269807280513</v>
      </c>
      <c r="M45" s="2231">
        <v>171420</v>
      </c>
    </row>
    <row r="46" spans="1:15" ht="20.100000000000001" customHeight="1" x14ac:dyDescent="0.3">
      <c r="A46" s="2288" t="s">
        <v>2</v>
      </c>
      <c r="B46" s="373"/>
      <c r="C46" s="372"/>
      <c r="D46" s="1052"/>
      <c r="E46" s="396"/>
      <c r="F46" s="2947">
        <v>195500</v>
      </c>
      <c r="G46" s="1741">
        <v>252466</v>
      </c>
      <c r="H46" s="485">
        <v>69862</v>
      </c>
      <c r="I46" s="400">
        <v>182604</v>
      </c>
      <c r="J46" s="3028"/>
      <c r="K46" s="3028">
        <v>35.735038363171356</v>
      </c>
      <c r="L46" s="3030">
        <v>93.40358056265984</v>
      </c>
      <c r="M46" s="2231">
        <v>-56966</v>
      </c>
    </row>
    <row r="47" spans="1:15" s="601" customFormat="1" ht="20.100000000000001" customHeight="1" x14ac:dyDescent="0.3">
      <c r="A47" s="2732" t="s">
        <v>971</v>
      </c>
      <c r="B47" s="3088">
        <v>5754000</v>
      </c>
      <c r="C47" s="2734">
        <v>4469700</v>
      </c>
      <c r="D47" s="2735">
        <v>180000</v>
      </c>
      <c r="E47" s="2736">
        <v>4649700</v>
      </c>
      <c r="F47" s="2737">
        <v>1104300</v>
      </c>
      <c r="G47" s="2740">
        <v>315892</v>
      </c>
      <c r="H47" s="2851">
        <v>206918</v>
      </c>
      <c r="I47" s="2857">
        <v>108974</v>
      </c>
      <c r="J47" s="393"/>
      <c r="K47" s="393">
        <v>18.737480757040661</v>
      </c>
      <c r="L47" s="1809">
        <v>9.8681517703522594</v>
      </c>
      <c r="M47" s="2231">
        <v>788408</v>
      </c>
      <c r="N47" s="449"/>
    </row>
    <row r="48" spans="1:15" s="449" customFormat="1" ht="20.100000000000001" customHeight="1" x14ac:dyDescent="0.3">
      <c r="A48" s="2923" t="s">
        <v>5</v>
      </c>
      <c r="B48" s="3088"/>
      <c r="C48" s="2734"/>
      <c r="D48" s="2735"/>
      <c r="E48" s="2736"/>
      <c r="F48" s="2948">
        <v>948300</v>
      </c>
      <c r="G48" s="951">
        <v>237892</v>
      </c>
      <c r="H48" s="3024">
        <v>154918</v>
      </c>
      <c r="I48" s="3027">
        <v>82974</v>
      </c>
      <c r="J48" s="3028"/>
      <c r="K48" s="3028">
        <v>16.336391437308869</v>
      </c>
      <c r="L48" s="3029">
        <v>8.7497627333122434</v>
      </c>
      <c r="M48" s="2231">
        <v>710408</v>
      </c>
    </row>
    <row r="49" spans="1:15" s="449" customFormat="1" ht="20.100000000000001" customHeight="1" x14ac:dyDescent="0.3">
      <c r="A49" s="2717" t="s">
        <v>1047</v>
      </c>
      <c r="B49" s="3088"/>
      <c r="C49" s="2734"/>
      <c r="D49" s="2735"/>
      <c r="E49" s="2736"/>
      <c r="F49" s="2948">
        <v>156000</v>
      </c>
      <c r="G49" s="951">
        <v>78000</v>
      </c>
      <c r="H49" s="3024">
        <v>52000</v>
      </c>
      <c r="I49" s="3027">
        <v>26000</v>
      </c>
      <c r="J49" s="3028"/>
      <c r="K49" s="3028">
        <v>33.333333333333336</v>
      </c>
      <c r="L49" s="3029">
        <v>16.666666666666668</v>
      </c>
      <c r="M49" s="2231">
        <v>78000</v>
      </c>
    </row>
    <row r="50" spans="1:15" s="601" customFormat="1" ht="20.25" customHeight="1" x14ac:dyDescent="0.5">
      <c r="A50" s="2733" t="s">
        <v>974</v>
      </c>
      <c r="B50" s="3088">
        <v>9696000</v>
      </c>
      <c r="C50" s="2734">
        <v>9696000</v>
      </c>
      <c r="D50" s="2735"/>
      <c r="E50" s="2736">
        <v>9696000</v>
      </c>
      <c r="F50" s="2737">
        <v>0</v>
      </c>
      <c r="G50" s="2740">
        <v>0</v>
      </c>
      <c r="H50" s="2851">
        <v>0</v>
      </c>
      <c r="I50" s="2857">
        <v>0</v>
      </c>
      <c r="J50" s="2853"/>
      <c r="K50" s="2853" t="e">
        <v>#DIV/0!</v>
      </c>
      <c r="L50" s="2854" t="e">
        <v>#DIV/0!</v>
      </c>
      <c r="M50" s="2350">
        <v>0</v>
      </c>
      <c r="N50" s="449"/>
    </row>
    <row r="51" spans="1:15" s="601" customFormat="1" ht="20.25" customHeight="1" x14ac:dyDescent="0.5">
      <c r="A51" s="2733" t="s">
        <v>975</v>
      </c>
      <c r="B51" s="3088">
        <v>12840000</v>
      </c>
      <c r="C51" s="2734">
        <v>8951700</v>
      </c>
      <c r="D51" s="2735">
        <v>2552400</v>
      </c>
      <c r="E51" s="2736">
        <v>11504100</v>
      </c>
      <c r="F51" s="2737">
        <v>1335900</v>
      </c>
      <c r="G51" s="2740">
        <v>385</v>
      </c>
      <c r="H51" s="2851">
        <v>0</v>
      </c>
      <c r="I51" s="2852">
        <v>385</v>
      </c>
      <c r="J51" s="2853"/>
      <c r="K51" s="2853">
        <v>0</v>
      </c>
      <c r="L51" s="2854">
        <v>2.8819522419342766E-2</v>
      </c>
      <c r="M51" s="2350">
        <v>1335515</v>
      </c>
      <c r="N51" s="449"/>
    </row>
    <row r="52" spans="1:15" s="601" customFormat="1" ht="20.25" customHeight="1" x14ac:dyDescent="0.5">
      <c r="A52" s="2316" t="s">
        <v>976</v>
      </c>
      <c r="B52" s="3088">
        <v>8056000</v>
      </c>
      <c r="C52" s="2734">
        <v>5788500</v>
      </c>
      <c r="D52" s="2735"/>
      <c r="E52" s="2736">
        <v>5788500</v>
      </c>
      <c r="F52" s="2737">
        <v>2267500</v>
      </c>
      <c r="G52" s="2740">
        <v>234000</v>
      </c>
      <c r="H52" s="2851">
        <v>156000</v>
      </c>
      <c r="I52" s="2852">
        <v>78000</v>
      </c>
      <c r="J52" s="2853"/>
      <c r="K52" s="2853">
        <v>6.8798235942668136</v>
      </c>
      <c r="L52" s="2854">
        <v>3.4399117971334068</v>
      </c>
      <c r="M52" s="2350">
        <v>2033500</v>
      </c>
      <c r="N52" s="449"/>
    </row>
    <row r="53" spans="1:15" s="449" customFormat="1" ht="20.25" customHeight="1" x14ac:dyDescent="0.5">
      <c r="A53" s="2717" t="s">
        <v>2</v>
      </c>
      <c r="B53" s="3088"/>
      <c r="C53" s="2734"/>
      <c r="D53" s="2735"/>
      <c r="E53" s="2736"/>
      <c r="F53" s="2948">
        <v>97300</v>
      </c>
      <c r="G53" s="951">
        <v>0</v>
      </c>
      <c r="H53" s="3024">
        <v>0</v>
      </c>
      <c r="I53" s="3025">
        <v>0</v>
      </c>
      <c r="J53" s="3026"/>
      <c r="K53" s="3026">
        <v>0</v>
      </c>
      <c r="L53" s="3031">
        <v>0</v>
      </c>
      <c r="M53" s="2350">
        <v>97300</v>
      </c>
    </row>
    <row r="54" spans="1:15" s="449" customFormat="1" ht="20.25" customHeight="1" x14ac:dyDescent="0.5">
      <c r="A54" s="2717" t="s">
        <v>3</v>
      </c>
      <c r="B54" s="3089"/>
      <c r="C54" s="2857"/>
      <c r="D54" s="2949"/>
      <c r="E54" s="2736"/>
      <c r="F54" s="2948">
        <v>994900</v>
      </c>
      <c r="G54" s="951">
        <v>0</v>
      </c>
      <c r="H54" s="3024">
        <v>0</v>
      </c>
      <c r="I54" s="3025">
        <v>0</v>
      </c>
      <c r="J54" s="3026"/>
      <c r="K54" s="3026">
        <v>0</v>
      </c>
      <c r="L54" s="3031">
        <v>0</v>
      </c>
      <c r="M54" s="2350">
        <v>994900</v>
      </c>
    </row>
    <row r="55" spans="1:15" s="449" customFormat="1" ht="20.25" customHeight="1" x14ac:dyDescent="0.5">
      <c r="A55" s="2717" t="s">
        <v>1</v>
      </c>
      <c r="B55" s="3089"/>
      <c r="C55" s="2857"/>
      <c r="D55" s="2949"/>
      <c r="E55" s="2736"/>
      <c r="F55" s="2948">
        <v>707300</v>
      </c>
      <c r="G55" s="951">
        <v>0</v>
      </c>
      <c r="H55" s="3024">
        <v>0</v>
      </c>
      <c r="I55" s="3025">
        <v>0</v>
      </c>
      <c r="J55" s="3026"/>
      <c r="K55" s="3026">
        <v>0</v>
      </c>
      <c r="L55" s="3031">
        <v>0</v>
      </c>
      <c r="M55" s="2350">
        <v>707300</v>
      </c>
    </row>
    <row r="56" spans="1:15" s="449" customFormat="1" ht="20.100000000000001" customHeight="1" thickBot="1" x14ac:dyDescent="0.55000000000000004">
      <c r="A56" s="3559" t="s">
        <v>1047</v>
      </c>
      <c r="B56" s="3560"/>
      <c r="C56" s="3561"/>
      <c r="D56" s="3562"/>
      <c r="E56" s="3563"/>
      <c r="F56" s="3564">
        <v>468000</v>
      </c>
      <c r="G56" s="3565">
        <v>234000</v>
      </c>
      <c r="H56" s="3566">
        <v>156000</v>
      </c>
      <c r="I56" s="3567">
        <v>78000</v>
      </c>
      <c r="J56" s="3568"/>
      <c r="K56" s="3568">
        <v>33.333333333333336</v>
      </c>
      <c r="L56" s="3569">
        <v>16.666666666666668</v>
      </c>
      <c r="M56" s="3570">
        <v>234000</v>
      </c>
    </row>
    <row r="57" spans="1:15" s="601" customFormat="1" ht="20.25" customHeight="1" x14ac:dyDescent="0.5">
      <c r="A57" s="2805" t="s">
        <v>977</v>
      </c>
      <c r="B57" s="3088">
        <v>6707700</v>
      </c>
      <c r="C57" s="2734">
        <v>2535900</v>
      </c>
      <c r="D57" s="2735"/>
      <c r="E57" s="2736">
        <v>2535900</v>
      </c>
      <c r="F57" s="2737">
        <v>4171800</v>
      </c>
      <c r="G57" s="2740">
        <v>309618.5</v>
      </c>
      <c r="H57" s="2851">
        <v>194070</v>
      </c>
      <c r="I57" s="2852">
        <v>115548.5</v>
      </c>
      <c r="J57" s="2853"/>
      <c r="K57" s="2853">
        <v>4.6519487990795341</v>
      </c>
      <c r="L57" s="2854">
        <v>2.7697516659475525</v>
      </c>
      <c r="M57" s="2350">
        <v>3862180.5</v>
      </c>
      <c r="N57" s="449"/>
    </row>
    <row r="58" spans="1:15" s="449" customFormat="1" ht="20.25" customHeight="1" x14ac:dyDescent="0.5">
      <c r="A58" s="2717" t="s">
        <v>1</v>
      </c>
      <c r="B58" s="3088"/>
      <c r="C58" s="2734"/>
      <c r="D58" s="2735"/>
      <c r="E58" s="2736"/>
      <c r="F58" s="2948">
        <v>891700</v>
      </c>
      <c r="G58" s="951">
        <v>24070</v>
      </c>
      <c r="H58" s="3024">
        <v>24070</v>
      </c>
      <c r="I58" s="3025">
        <v>0</v>
      </c>
      <c r="J58" s="3026"/>
      <c r="K58" s="3026">
        <v>2.6993383424918695</v>
      </c>
      <c r="L58" s="3031">
        <v>0</v>
      </c>
      <c r="M58" s="2350">
        <v>867630</v>
      </c>
    </row>
    <row r="59" spans="1:15" s="449" customFormat="1" ht="20.25" customHeight="1" x14ac:dyDescent="0.5">
      <c r="A59" s="2717" t="s">
        <v>2</v>
      </c>
      <c r="B59" s="3088"/>
      <c r="C59" s="2734"/>
      <c r="D59" s="2735"/>
      <c r="E59" s="2736"/>
      <c r="F59" s="2948">
        <v>2770100</v>
      </c>
      <c r="G59" s="951">
        <v>0</v>
      </c>
      <c r="H59" s="3024">
        <v>0</v>
      </c>
      <c r="I59" s="3025">
        <v>0</v>
      </c>
      <c r="J59" s="3026"/>
      <c r="K59" s="3026">
        <v>0</v>
      </c>
      <c r="L59" s="3031">
        <v>0</v>
      </c>
      <c r="M59" s="2350">
        <v>2770100</v>
      </c>
    </row>
    <row r="60" spans="1:15" s="449" customFormat="1" ht="20.25" customHeight="1" thickBot="1" x14ac:dyDescent="0.55000000000000004">
      <c r="A60" s="2717" t="s">
        <v>1048</v>
      </c>
      <c r="B60" s="3088"/>
      <c r="C60" s="2734"/>
      <c r="D60" s="2735"/>
      <c r="E60" s="2736"/>
      <c r="F60" s="2948">
        <v>510000</v>
      </c>
      <c r="G60" s="951">
        <v>285548.5</v>
      </c>
      <c r="H60" s="3024">
        <v>170000</v>
      </c>
      <c r="I60" s="3025">
        <v>115548.5</v>
      </c>
      <c r="J60" s="3026"/>
      <c r="K60" s="3026">
        <v>33.333333333333336</v>
      </c>
      <c r="L60" s="3031">
        <v>22.65656862745098</v>
      </c>
      <c r="M60" s="2350">
        <v>224450.5</v>
      </c>
      <c r="O60" s="792"/>
    </row>
    <row r="61" spans="1:15" s="601" customFormat="1" ht="20.25" customHeight="1" thickTop="1" x14ac:dyDescent="0.5">
      <c r="A61" s="2805" t="s">
        <v>978</v>
      </c>
      <c r="B61" s="3088">
        <v>2587000</v>
      </c>
      <c r="C61" s="2734">
        <v>704700</v>
      </c>
      <c r="D61" s="2734"/>
      <c r="E61" s="2736">
        <v>704700</v>
      </c>
      <c r="F61" s="2737">
        <v>1882300</v>
      </c>
      <c r="G61" s="2740">
        <v>26930</v>
      </c>
      <c r="H61" s="3571">
        <v>18240</v>
      </c>
      <c r="I61" s="2857">
        <v>8690</v>
      </c>
      <c r="J61" s="3035"/>
      <c r="K61" s="2853">
        <v>0.96902725389151567</v>
      </c>
      <c r="L61" s="2853">
        <v>0.4616692344472188</v>
      </c>
      <c r="M61" s="2350">
        <v>1855370</v>
      </c>
      <c r="N61" s="449"/>
    </row>
    <row r="62" spans="1:15" s="601" customFormat="1" ht="20.25" customHeight="1" x14ac:dyDescent="0.5">
      <c r="A62" s="2806" t="s">
        <v>979</v>
      </c>
      <c r="B62" s="3088">
        <v>6668000</v>
      </c>
      <c r="C62" s="2734">
        <v>5892900</v>
      </c>
      <c r="D62" s="2735"/>
      <c r="E62" s="2736">
        <v>5892900</v>
      </c>
      <c r="F62" s="2737">
        <v>775100</v>
      </c>
      <c r="G62" s="2740">
        <v>0</v>
      </c>
      <c r="H62" s="2851">
        <v>0</v>
      </c>
      <c r="I62" s="2852">
        <v>0</v>
      </c>
      <c r="J62" s="2853"/>
      <c r="K62" s="2853">
        <v>0</v>
      </c>
      <c r="L62" s="2854">
        <v>0</v>
      </c>
      <c r="M62" s="2350">
        <v>775100</v>
      </c>
      <c r="N62" s="449"/>
    </row>
    <row r="63" spans="1:15" s="449" customFormat="1" ht="20.25" customHeight="1" x14ac:dyDescent="0.5">
      <c r="A63" s="2717" t="s">
        <v>2</v>
      </c>
      <c r="B63" s="3088"/>
      <c r="C63" s="2734"/>
      <c r="D63" s="2735"/>
      <c r="E63" s="2736"/>
      <c r="F63" s="2948">
        <v>257300</v>
      </c>
      <c r="G63" s="951">
        <v>0</v>
      </c>
      <c r="H63" s="3024">
        <v>0</v>
      </c>
      <c r="I63" s="3025">
        <v>0</v>
      </c>
      <c r="J63" s="3026"/>
      <c r="K63" s="3026">
        <v>0</v>
      </c>
      <c r="L63" s="3031">
        <v>0</v>
      </c>
      <c r="M63" s="2350">
        <v>257300</v>
      </c>
    </row>
    <row r="64" spans="1:15" s="449" customFormat="1" ht="20.25" customHeight="1" x14ac:dyDescent="0.5">
      <c r="A64" s="2717" t="s">
        <v>1</v>
      </c>
      <c r="B64" s="3089"/>
      <c r="C64" s="2857"/>
      <c r="D64" s="2949"/>
      <c r="E64" s="2736"/>
      <c r="F64" s="2948">
        <v>517800</v>
      </c>
      <c r="G64" s="951">
        <v>0</v>
      </c>
      <c r="H64" s="3024">
        <v>0</v>
      </c>
      <c r="I64" s="3025">
        <v>0</v>
      </c>
      <c r="J64" s="3026"/>
      <c r="K64" s="3026">
        <v>0</v>
      </c>
      <c r="L64" s="3031">
        <v>0</v>
      </c>
      <c r="M64" s="2350">
        <v>517800</v>
      </c>
    </row>
    <row r="65" spans="1:16" s="449" customFormat="1" ht="20.25" customHeight="1" x14ac:dyDescent="0.5">
      <c r="A65" s="2805" t="s">
        <v>980</v>
      </c>
      <c r="B65" s="3088">
        <v>1500000</v>
      </c>
      <c r="C65" s="2734">
        <v>1200400</v>
      </c>
      <c r="D65" s="2949"/>
      <c r="E65" s="2736">
        <v>1200400</v>
      </c>
      <c r="F65" s="2737">
        <v>299600</v>
      </c>
      <c r="G65" s="2740">
        <v>0</v>
      </c>
      <c r="H65" s="2851">
        <v>0</v>
      </c>
      <c r="I65" s="2852">
        <v>0</v>
      </c>
      <c r="J65" s="2853"/>
      <c r="K65" s="2853">
        <v>0</v>
      </c>
      <c r="L65" s="2854">
        <v>0</v>
      </c>
      <c r="M65" s="2350">
        <v>299600</v>
      </c>
    </row>
    <row r="66" spans="1:16" s="449" customFormat="1" ht="20.25" customHeight="1" x14ac:dyDescent="0.5">
      <c r="A66" s="2995" t="s">
        <v>628</v>
      </c>
      <c r="B66" s="3090">
        <v>3977000</v>
      </c>
      <c r="C66" s="2996"/>
      <c r="D66" s="2997"/>
      <c r="E66" s="2998">
        <v>0</v>
      </c>
      <c r="F66" s="2999">
        <v>3977000</v>
      </c>
      <c r="G66" s="3000">
        <v>993850</v>
      </c>
      <c r="H66" s="3001">
        <v>0</v>
      </c>
      <c r="I66" s="3001">
        <v>993850</v>
      </c>
      <c r="J66" s="3002"/>
      <c r="K66" s="3002">
        <v>0</v>
      </c>
      <c r="L66" s="3003">
        <v>24.98994216746291</v>
      </c>
      <c r="M66" s="3004">
        <v>2983150</v>
      </c>
    </row>
    <row r="67" spans="1:16" s="449" customFormat="1" ht="20.25" customHeight="1" x14ac:dyDescent="0.5">
      <c r="A67" s="2316" t="s">
        <v>981</v>
      </c>
      <c r="B67" s="2734">
        <v>1495000</v>
      </c>
      <c r="C67" s="2734"/>
      <c r="D67" s="2735"/>
      <c r="E67" s="2736">
        <v>0</v>
      </c>
      <c r="F67" s="2737">
        <v>1495000</v>
      </c>
      <c r="G67" s="2740">
        <v>993850</v>
      </c>
      <c r="H67" s="2741">
        <v>0</v>
      </c>
      <c r="I67" s="2803">
        <v>993850</v>
      </c>
      <c r="J67" s="2739"/>
      <c r="K67" s="2739">
        <v>0</v>
      </c>
      <c r="L67" s="652">
        <v>66.478260869565219</v>
      </c>
      <c r="M67" s="2350">
        <v>501150</v>
      </c>
    </row>
    <row r="68" spans="1:16" s="449" customFormat="1" ht="30.75" customHeight="1" x14ac:dyDescent="0.5">
      <c r="A68" s="2831" t="s">
        <v>1054</v>
      </c>
      <c r="B68" s="2738">
        <v>1495000</v>
      </c>
      <c r="C68" s="2738"/>
      <c r="D68" s="2742"/>
      <c r="E68" s="2950">
        <v>0</v>
      </c>
      <c r="F68" s="2948">
        <v>1495000</v>
      </c>
      <c r="G68" s="2740">
        <v>993850</v>
      </c>
      <c r="H68" s="2741">
        <v>0</v>
      </c>
      <c r="I68" s="2803">
        <v>993850</v>
      </c>
      <c r="J68" s="2739"/>
      <c r="K68" s="2739">
        <v>0</v>
      </c>
      <c r="L68" s="652">
        <v>66.478260869565219</v>
      </c>
      <c r="M68" s="2350">
        <v>501150</v>
      </c>
    </row>
    <row r="69" spans="1:16" s="449" customFormat="1" ht="20.25" customHeight="1" x14ac:dyDescent="0.5">
      <c r="A69" s="2316" t="s">
        <v>982</v>
      </c>
      <c r="B69" s="2734">
        <v>2482000</v>
      </c>
      <c r="C69" s="2734"/>
      <c r="D69" s="2735"/>
      <c r="E69" s="2736">
        <v>0</v>
      </c>
      <c r="F69" s="2737">
        <v>2482000</v>
      </c>
      <c r="G69" s="2740">
        <v>0</v>
      </c>
      <c r="H69" s="2741">
        <v>0</v>
      </c>
      <c r="I69" s="2803">
        <v>0</v>
      </c>
      <c r="J69" s="2739"/>
      <c r="K69" s="2739">
        <v>0</v>
      </c>
      <c r="L69" s="652">
        <v>0</v>
      </c>
      <c r="M69" s="2350">
        <v>2482000</v>
      </c>
    </row>
    <row r="70" spans="1:16" s="449" customFormat="1" ht="32.25" customHeight="1" x14ac:dyDescent="0.5">
      <c r="A70" s="2951" t="s">
        <v>996</v>
      </c>
      <c r="B70" s="2738">
        <v>2482000</v>
      </c>
      <c r="C70" s="2738"/>
      <c r="D70" s="2742"/>
      <c r="E70" s="2950">
        <v>0</v>
      </c>
      <c r="F70" s="2948">
        <v>2482000</v>
      </c>
      <c r="G70" s="2740">
        <v>0</v>
      </c>
      <c r="H70" s="2741">
        <v>0</v>
      </c>
      <c r="I70" s="2803">
        <v>0</v>
      </c>
      <c r="J70" s="2739"/>
      <c r="K70" s="2739">
        <v>0</v>
      </c>
      <c r="L70" s="652">
        <v>0</v>
      </c>
      <c r="M70" s="2350">
        <v>2482000</v>
      </c>
    </row>
    <row r="71" spans="1:16" s="595" customFormat="1" ht="20.100000000000001" customHeight="1" x14ac:dyDescent="0.3">
      <c r="A71" s="3059" t="s">
        <v>991</v>
      </c>
      <c r="B71" s="2730">
        <v>6167800</v>
      </c>
      <c r="C71" s="2730">
        <v>6042000</v>
      </c>
      <c r="D71" s="3060">
        <v>0</v>
      </c>
      <c r="E71" s="3061">
        <v>6042000</v>
      </c>
      <c r="F71" s="3062">
        <v>125800</v>
      </c>
      <c r="G71" s="3063">
        <v>0</v>
      </c>
      <c r="H71" s="3064">
        <v>0</v>
      </c>
      <c r="I71" s="3065">
        <v>0</v>
      </c>
      <c r="J71" s="3066"/>
      <c r="K71" s="3066">
        <v>0</v>
      </c>
      <c r="L71" s="3067">
        <v>0</v>
      </c>
      <c r="M71" s="3068">
        <v>125800</v>
      </c>
    </row>
    <row r="72" spans="1:16" ht="18.75" customHeight="1" x14ac:dyDescent="0.3">
      <c r="A72" s="2990" t="s">
        <v>993</v>
      </c>
      <c r="B72" s="2925">
        <v>6167800</v>
      </c>
      <c r="C72" s="2925">
        <v>6042000</v>
      </c>
      <c r="D72" s="2925">
        <v>0</v>
      </c>
      <c r="E72" s="2991">
        <v>6042000</v>
      </c>
      <c r="F72" s="2927">
        <v>125800</v>
      </c>
      <c r="G72" s="2992">
        <v>0</v>
      </c>
      <c r="H72" s="2993">
        <v>0</v>
      </c>
      <c r="I72" s="2994">
        <v>0</v>
      </c>
      <c r="J72" s="2929"/>
      <c r="K72" s="2929">
        <v>0</v>
      </c>
      <c r="L72" s="2933">
        <v>0</v>
      </c>
      <c r="M72" s="2930">
        <v>125800</v>
      </c>
    </row>
    <row r="73" spans="1:16" s="449" customFormat="1" ht="23.25" customHeight="1" x14ac:dyDescent="0.5">
      <c r="A73" s="2951" t="s">
        <v>992</v>
      </c>
      <c r="B73" s="2738">
        <v>6167800</v>
      </c>
      <c r="C73" s="2738">
        <v>6042000</v>
      </c>
      <c r="D73" s="2742">
        <v>0</v>
      </c>
      <c r="E73" s="2965">
        <v>6042000</v>
      </c>
      <c r="F73" s="2948">
        <v>125800</v>
      </c>
      <c r="G73" s="953">
        <v>0</v>
      </c>
      <c r="H73" s="953">
        <v>0</v>
      </c>
      <c r="I73" s="3032">
        <v>0</v>
      </c>
      <c r="J73" s="3033"/>
      <c r="K73" s="3033">
        <v>0</v>
      </c>
      <c r="L73" s="2743">
        <v>0</v>
      </c>
      <c r="M73" s="2350">
        <v>125800</v>
      </c>
    </row>
    <row r="74" spans="1:16" ht="18.75" customHeight="1" x14ac:dyDescent="0.3">
      <c r="A74" s="3006" t="s">
        <v>915</v>
      </c>
      <c r="B74" s="2937">
        <v>4102300</v>
      </c>
      <c r="C74" s="2937">
        <v>4102300</v>
      </c>
      <c r="D74" s="2937">
        <v>0</v>
      </c>
      <c r="E74" s="2938">
        <v>4102300</v>
      </c>
      <c r="F74" s="2939">
        <v>0</v>
      </c>
      <c r="G74" s="2952">
        <v>0</v>
      </c>
      <c r="H74" s="2953">
        <v>0</v>
      </c>
      <c r="I74" s="2954">
        <v>0</v>
      </c>
      <c r="J74" s="2940"/>
      <c r="K74" s="2940" t="e">
        <v>#DIV/0!</v>
      </c>
      <c r="L74" s="2955" t="e">
        <v>#DIV/0!</v>
      </c>
      <c r="M74" s="3005">
        <v>0</v>
      </c>
    </row>
    <row r="75" spans="1:16" ht="18.75" customHeight="1" x14ac:dyDescent="0.3">
      <c r="A75" s="2990" t="s">
        <v>951</v>
      </c>
      <c r="B75" s="2925">
        <v>4102300</v>
      </c>
      <c r="C75" s="2925">
        <v>4102300</v>
      </c>
      <c r="D75" s="2925">
        <v>0</v>
      </c>
      <c r="E75" s="2991">
        <v>4102300</v>
      </c>
      <c r="F75" s="2927">
        <v>0</v>
      </c>
      <c r="G75" s="2992">
        <v>0</v>
      </c>
      <c r="H75" s="2993">
        <v>0</v>
      </c>
      <c r="I75" s="2994">
        <v>0</v>
      </c>
      <c r="J75" s="2929"/>
      <c r="K75" s="2929" t="e">
        <v>#DIV/0!</v>
      </c>
      <c r="L75" s="2933" t="e">
        <v>#DIV/0!</v>
      </c>
      <c r="M75" s="2930">
        <v>0</v>
      </c>
    </row>
    <row r="76" spans="1:16" ht="20.100000000000001" customHeight="1" x14ac:dyDescent="0.3">
      <c r="A76" s="2373" t="s">
        <v>917</v>
      </c>
      <c r="B76" s="937">
        <v>4102300</v>
      </c>
      <c r="C76" s="937">
        <v>4102300</v>
      </c>
      <c r="D76" s="2698"/>
      <c r="E76" s="2375">
        <v>4102300</v>
      </c>
      <c r="F76" s="2678">
        <v>0</v>
      </c>
      <c r="G76" s="2721">
        <v>0</v>
      </c>
      <c r="H76" s="2699">
        <v>0</v>
      </c>
      <c r="I76" s="2700">
        <v>0</v>
      </c>
      <c r="J76" s="2379"/>
      <c r="K76" s="2379" t="e">
        <v>#DIV/0!</v>
      </c>
      <c r="L76" s="2380" t="e">
        <v>#DIV/0!</v>
      </c>
      <c r="M76" s="2381">
        <v>0</v>
      </c>
    </row>
    <row r="77" spans="1:16" ht="20.100000000000001" customHeight="1" thickBot="1" x14ac:dyDescent="0.35">
      <c r="A77" s="2956" t="s">
        <v>912</v>
      </c>
      <c r="B77" s="2957">
        <v>4102300</v>
      </c>
      <c r="C77" s="2941">
        <v>4102300</v>
      </c>
      <c r="D77" s="2958"/>
      <c r="E77" s="2942">
        <v>4102300</v>
      </c>
      <c r="F77" s="2943">
        <v>0</v>
      </c>
      <c r="G77" s="2959">
        <v>0</v>
      </c>
      <c r="H77" s="2960">
        <v>0</v>
      </c>
      <c r="I77" s="2961">
        <v>0</v>
      </c>
      <c r="J77" s="2944"/>
      <c r="K77" s="2944" t="e">
        <v>#DIV/0!</v>
      </c>
      <c r="L77" s="2945" t="e">
        <v>#DIV/0!</v>
      </c>
      <c r="M77" s="2946">
        <v>0</v>
      </c>
      <c r="O77" s="366" t="s">
        <v>1050</v>
      </c>
    </row>
    <row r="78" spans="1:16" s="449" customFormat="1" ht="19.5" customHeight="1" thickTop="1" thickBot="1" x14ac:dyDescent="0.35">
      <c r="A78" s="2233" t="s">
        <v>28</v>
      </c>
      <c r="B78" s="2832">
        <v>122029700</v>
      </c>
      <c r="C78" s="2234">
        <v>68166700</v>
      </c>
      <c r="D78" s="2234">
        <v>2732400</v>
      </c>
      <c r="E78" s="2962">
        <v>70899100</v>
      </c>
      <c r="F78" s="2967">
        <v>51130600</v>
      </c>
      <c r="G78" s="2365">
        <v>6563019.5299999993</v>
      </c>
      <c r="H78" s="2234">
        <v>2279948.5499999998</v>
      </c>
      <c r="I78" s="2234">
        <v>4283070.9799999995</v>
      </c>
      <c r="J78" s="2966"/>
      <c r="K78" s="2968">
        <v>4.4590686399142578</v>
      </c>
      <c r="L78" s="2968">
        <v>8.376727400030509</v>
      </c>
      <c r="M78" s="2239">
        <v>44567580.469999999</v>
      </c>
      <c r="N78" s="792"/>
      <c r="O78" s="792"/>
      <c r="P78" s="792"/>
    </row>
    <row r="79" spans="1:16" s="449" customFormat="1" ht="19.5" customHeight="1" thickTop="1" x14ac:dyDescent="0.3">
      <c r="A79" s="791"/>
      <c r="B79" s="792"/>
      <c r="C79" s="792"/>
      <c r="D79" s="792"/>
      <c r="E79" s="792"/>
      <c r="F79" s="792"/>
      <c r="G79" s="792"/>
      <c r="H79" s="792"/>
      <c r="I79" s="792"/>
      <c r="J79" s="793"/>
      <c r="K79" s="793"/>
      <c r="L79" s="793"/>
      <c r="M79" s="823"/>
      <c r="N79" s="792"/>
      <c r="O79" s="792"/>
      <c r="P79" s="792"/>
    </row>
    <row r="80" spans="1:16" s="449" customFormat="1" ht="19.5" customHeight="1" x14ac:dyDescent="0.3">
      <c r="B80" s="792"/>
      <c r="D80" s="3092" t="s">
        <v>1051</v>
      </c>
      <c r="E80" s="3093"/>
      <c r="F80" s="3093">
        <v>51130600</v>
      </c>
      <c r="G80" s="3093" t="s">
        <v>1052</v>
      </c>
      <c r="H80" s="792"/>
      <c r="I80" s="792"/>
      <c r="J80" s="793"/>
      <c r="K80" s="793"/>
      <c r="L80" s="793"/>
      <c r="M80" s="823"/>
      <c r="N80" s="792"/>
      <c r="O80" s="792"/>
      <c r="P80" s="792"/>
    </row>
    <row r="81" spans="1:16" s="449" customFormat="1" ht="19.5" customHeight="1" x14ac:dyDescent="0.3">
      <c r="A81" s="791"/>
      <c r="B81" s="792"/>
      <c r="C81" s="792"/>
      <c r="D81" s="792"/>
      <c r="E81" s="792"/>
      <c r="F81" s="792"/>
      <c r="G81" s="792"/>
      <c r="H81" s="792"/>
      <c r="I81" s="792"/>
      <c r="J81" s="793"/>
      <c r="K81" s="793"/>
      <c r="L81" s="793"/>
      <c r="M81" s="823"/>
      <c r="N81" s="792"/>
      <c r="O81" s="792"/>
      <c r="P81" s="792"/>
    </row>
    <row r="82" spans="1:16" s="449" customFormat="1" ht="19.5" customHeight="1" x14ac:dyDescent="0.3">
      <c r="A82" s="791"/>
      <c r="B82" s="792"/>
      <c r="C82" s="792"/>
      <c r="D82" s="792"/>
      <c r="E82" s="792"/>
      <c r="F82" s="792"/>
      <c r="G82" s="792"/>
      <c r="H82" s="792"/>
      <c r="I82" s="792"/>
      <c r="J82" s="793"/>
      <c r="K82" s="793"/>
      <c r="L82" s="793"/>
      <c r="M82" s="823"/>
      <c r="N82" s="792"/>
      <c r="O82" s="792"/>
      <c r="P82" s="792"/>
    </row>
    <row r="83" spans="1:16" s="449" customFormat="1" ht="19.5" customHeight="1" x14ac:dyDescent="0.3">
      <c r="A83" s="791"/>
      <c r="B83" s="792"/>
      <c r="C83" s="792"/>
      <c r="D83" s="792"/>
      <c r="E83" s="792"/>
      <c r="F83" s="792"/>
      <c r="G83" s="792"/>
      <c r="H83" s="792"/>
      <c r="I83" s="792"/>
      <c r="J83" s="793"/>
      <c r="K83" s="793"/>
      <c r="L83" s="793"/>
      <c r="M83" s="823"/>
      <c r="N83" s="792"/>
      <c r="O83" s="792"/>
      <c r="P83" s="792"/>
    </row>
    <row r="84" spans="1:16" s="449" customFormat="1" ht="19.5" customHeight="1" x14ac:dyDescent="0.3">
      <c r="A84" s="791"/>
      <c r="B84" s="792"/>
      <c r="C84" s="792"/>
      <c r="D84" s="792"/>
      <c r="E84" s="792"/>
      <c r="F84" s="792"/>
      <c r="G84" s="792"/>
      <c r="H84" s="792"/>
      <c r="I84" s="792"/>
      <c r="J84" s="793"/>
      <c r="K84" s="793"/>
      <c r="L84" s="793"/>
      <c r="M84" s="823"/>
      <c r="N84" s="792"/>
      <c r="O84" s="792"/>
      <c r="P84" s="792"/>
    </row>
    <row r="85" spans="1:16" s="449" customFormat="1" ht="19.5" customHeight="1" x14ac:dyDescent="0.3">
      <c r="A85" s="791"/>
      <c r="B85" s="792"/>
      <c r="C85" s="792"/>
      <c r="D85" s="792"/>
      <c r="E85" s="792"/>
      <c r="F85" s="792"/>
      <c r="G85" s="792"/>
      <c r="H85" s="792"/>
      <c r="I85" s="792"/>
      <c r="J85" s="793"/>
      <c r="K85" s="793"/>
      <c r="L85" s="793"/>
      <c r="M85" s="823"/>
      <c r="N85" s="792"/>
      <c r="O85" s="792"/>
      <c r="P85" s="792"/>
    </row>
    <row r="86" spans="1:16" s="449" customFormat="1" ht="19.5" customHeight="1" x14ac:dyDescent="0.3">
      <c r="A86" s="2661"/>
      <c r="B86" s="792" t="s">
        <v>896</v>
      </c>
      <c r="C86" s="792" t="s">
        <v>297</v>
      </c>
      <c r="D86" s="792" t="s">
        <v>16</v>
      </c>
      <c r="E86" s="792" t="s">
        <v>897</v>
      </c>
      <c r="F86" s="792" t="s">
        <v>898</v>
      </c>
      <c r="G86" s="792"/>
      <c r="H86" s="792"/>
      <c r="I86" s="792"/>
      <c r="J86" s="793"/>
      <c r="K86" s="793"/>
      <c r="L86" s="793"/>
      <c r="M86" s="823"/>
      <c r="N86" s="792"/>
      <c r="O86" s="792"/>
      <c r="P86" s="792"/>
    </row>
    <row r="87" spans="1:16" s="449" customFormat="1" ht="19.5" customHeight="1" x14ac:dyDescent="0.3">
      <c r="A87" s="2661" t="s">
        <v>899</v>
      </c>
      <c r="B87" s="792"/>
      <c r="C87" s="792"/>
      <c r="D87" s="792"/>
      <c r="E87" s="792"/>
      <c r="F87" s="792"/>
      <c r="G87" s="792"/>
      <c r="H87" s="792"/>
      <c r="I87" s="792"/>
      <c r="J87" s="793"/>
      <c r="K87" s="793"/>
      <c r="L87" s="793"/>
      <c r="M87" s="823"/>
      <c r="N87" s="792"/>
      <c r="O87" s="792"/>
      <c r="P87" s="792"/>
    </row>
    <row r="88" spans="1:16" s="449" customFormat="1" ht="19.5" customHeight="1" x14ac:dyDescent="0.3">
      <c r="A88" s="2661" t="s">
        <v>894</v>
      </c>
      <c r="B88" s="792"/>
      <c r="C88" s="792"/>
      <c r="D88" s="792"/>
      <c r="E88" s="792"/>
      <c r="F88" s="792"/>
      <c r="G88" s="792"/>
      <c r="H88" s="792"/>
      <c r="I88" s="792"/>
      <c r="J88" s="793"/>
      <c r="K88" s="793"/>
      <c r="L88" s="793"/>
      <c r="M88" s="823"/>
      <c r="N88" s="792"/>
      <c r="O88" s="792"/>
      <c r="P88" s="792"/>
    </row>
    <row r="89" spans="1:16" s="673" customFormat="1" ht="19.5" customHeight="1" x14ac:dyDescent="0.3">
      <c r="A89" s="3007" t="s">
        <v>857</v>
      </c>
      <c r="B89" s="2347"/>
      <c r="C89" s="2347"/>
      <c r="D89" s="2347"/>
      <c r="E89" s="2347"/>
      <c r="F89" s="2347"/>
      <c r="G89" s="2347"/>
      <c r="H89" s="2347"/>
      <c r="I89" s="2347"/>
      <c r="J89" s="2668"/>
      <c r="K89" s="2668"/>
      <c r="L89" s="2668"/>
      <c r="M89" s="650"/>
      <c r="N89" s="2347"/>
      <c r="O89" s="2347"/>
      <c r="P89" s="2347"/>
    </row>
    <row r="90" spans="1:16" s="673" customFormat="1" ht="19.5" customHeight="1" x14ac:dyDescent="0.3">
      <c r="A90" s="3007" t="s">
        <v>858</v>
      </c>
      <c r="B90" s="2347"/>
      <c r="C90" s="2347"/>
      <c r="D90" s="2347"/>
      <c r="E90" s="2347"/>
      <c r="F90" s="2347"/>
      <c r="G90" s="2347"/>
      <c r="H90" s="2347"/>
      <c r="I90" s="2347"/>
      <c r="J90" s="2668"/>
      <c r="K90" s="2668"/>
      <c r="L90" s="2668"/>
      <c r="M90" s="650"/>
      <c r="N90" s="2347"/>
      <c r="O90" s="2347"/>
      <c r="P90" s="2347"/>
    </row>
    <row r="91" spans="1:16" s="673" customFormat="1" ht="19.5" customHeight="1" x14ac:dyDescent="0.3">
      <c r="A91" s="3007" t="s">
        <v>859</v>
      </c>
      <c r="B91" s="2347"/>
      <c r="C91" s="2347"/>
      <c r="D91" s="2347"/>
      <c r="E91" s="2347"/>
      <c r="F91" s="2347"/>
      <c r="G91" s="2347"/>
      <c r="H91" s="2347"/>
      <c r="I91" s="2347"/>
      <c r="J91" s="2668"/>
      <c r="K91" s="2668"/>
      <c r="L91" s="2668"/>
      <c r="M91" s="650"/>
      <c r="N91" s="2347"/>
      <c r="O91" s="2347"/>
      <c r="P91" s="2347"/>
    </row>
    <row r="92" spans="1:16" s="673" customFormat="1" ht="19.5" customHeight="1" x14ac:dyDescent="0.3">
      <c r="A92" s="3007" t="s">
        <v>900</v>
      </c>
      <c r="B92" s="2347"/>
      <c r="C92" s="2347"/>
      <c r="D92" s="2347"/>
      <c r="E92" s="2347"/>
      <c r="F92" s="2347"/>
      <c r="G92" s="2347"/>
      <c r="H92" s="2347"/>
      <c r="I92" s="2347"/>
      <c r="J92" s="2668"/>
      <c r="K92" s="2668"/>
      <c r="L92" s="2668"/>
      <c r="M92" s="650"/>
      <c r="N92" s="2347"/>
      <c r="O92" s="2347"/>
      <c r="P92" s="2347"/>
    </row>
    <row r="93" spans="1:16" s="673" customFormat="1" ht="19.5" customHeight="1" x14ac:dyDescent="0.3">
      <c r="A93" s="3007" t="s">
        <v>901</v>
      </c>
      <c r="B93" s="2347"/>
      <c r="C93" s="2347"/>
      <c r="D93" s="2347"/>
      <c r="E93" s="2347"/>
      <c r="F93" s="2347"/>
      <c r="G93" s="2347"/>
      <c r="H93" s="2347"/>
      <c r="I93" s="2347"/>
      <c r="J93" s="2668"/>
      <c r="K93" s="2668"/>
      <c r="L93" s="2668"/>
      <c r="M93" s="650"/>
      <c r="N93" s="2347"/>
      <c r="O93" s="2347"/>
      <c r="P93" s="2347"/>
    </row>
    <row r="94" spans="1:16" s="449" customFormat="1" ht="19.5" customHeight="1" x14ac:dyDescent="0.3">
      <c r="A94" s="3008" t="s">
        <v>946</v>
      </c>
      <c r="B94" s="792"/>
      <c r="C94" s="792"/>
      <c r="D94" s="792"/>
      <c r="E94" s="792"/>
      <c r="F94" s="792"/>
      <c r="G94" s="792"/>
      <c r="H94" s="792"/>
      <c r="I94" s="792"/>
      <c r="J94" s="793"/>
      <c r="K94" s="793"/>
      <c r="L94" s="793"/>
      <c r="M94" s="823"/>
      <c r="N94" s="792"/>
      <c r="O94" s="792"/>
      <c r="P94" s="792"/>
    </row>
    <row r="95" spans="1:16" s="673" customFormat="1" ht="19.5" customHeight="1" x14ac:dyDescent="0.3">
      <c r="A95" s="3008" t="s">
        <v>947</v>
      </c>
      <c r="B95" s="2347"/>
      <c r="C95" s="2347"/>
      <c r="D95" s="2347"/>
      <c r="E95" s="2347"/>
      <c r="F95" s="2347"/>
      <c r="G95" s="2347"/>
      <c r="H95" s="2347"/>
      <c r="I95" s="2347"/>
      <c r="J95" s="2668"/>
      <c r="K95" s="2668"/>
      <c r="L95" s="2668"/>
      <c r="M95" s="650"/>
      <c r="N95" s="2347"/>
      <c r="O95" s="2347"/>
      <c r="P95" s="2347"/>
    </row>
    <row r="96" spans="1:16" s="673" customFormat="1" ht="19.5" customHeight="1" x14ac:dyDescent="0.3">
      <c r="A96" s="3009" t="s">
        <v>843</v>
      </c>
      <c r="B96" s="2347"/>
      <c r="C96" s="2347"/>
      <c r="D96" s="2347"/>
      <c r="E96" s="2347"/>
      <c r="F96" s="2347"/>
      <c r="G96" s="2347"/>
      <c r="H96" s="2347"/>
      <c r="I96" s="2347"/>
      <c r="J96" s="2668"/>
      <c r="K96" s="2668"/>
      <c r="L96" s="2668"/>
      <c r="M96" s="650"/>
      <c r="N96" s="2347"/>
      <c r="O96" s="2347"/>
      <c r="P96" s="2347"/>
    </row>
    <row r="97" spans="1:16" s="673" customFormat="1" ht="19.5" customHeight="1" x14ac:dyDescent="0.3">
      <c r="A97" s="3010" t="s">
        <v>844</v>
      </c>
      <c r="B97" s="2347"/>
      <c r="C97" s="2347"/>
      <c r="D97" s="2347"/>
      <c r="E97" s="2347"/>
      <c r="F97" s="2347"/>
      <c r="G97" s="2347"/>
      <c r="H97" s="2347"/>
      <c r="I97" s="2347"/>
      <c r="J97" s="2668"/>
      <c r="K97" s="2668"/>
      <c r="L97" s="2668"/>
      <c r="M97" s="650"/>
      <c r="N97" s="2347"/>
      <c r="O97" s="2347"/>
      <c r="P97" s="2347"/>
    </row>
    <row r="98" spans="1:16" s="673" customFormat="1" ht="19.5" customHeight="1" x14ac:dyDescent="0.3">
      <c r="A98" s="3010" t="s">
        <v>845</v>
      </c>
      <c r="B98" s="2347"/>
      <c r="C98" s="2347"/>
      <c r="D98" s="2347"/>
      <c r="E98" s="2347"/>
      <c r="F98" s="2347"/>
      <c r="G98" s="2347"/>
      <c r="H98" s="2347"/>
      <c r="I98" s="2347"/>
      <c r="J98" s="2668"/>
      <c r="K98" s="2668"/>
      <c r="L98" s="2668"/>
      <c r="M98" s="650"/>
      <c r="N98" s="2347"/>
      <c r="O98" s="2347"/>
      <c r="P98" s="2347"/>
    </row>
    <row r="99" spans="1:16" s="673" customFormat="1" ht="19.5" customHeight="1" x14ac:dyDescent="0.3">
      <c r="A99" s="3011" t="s">
        <v>846</v>
      </c>
      <c r="B99" s="2347"/>
      <c r="C99" s="2347"/>
      <c r="D99" s="2347"/>
      <c r="E99" s="2347"/>
      <c r="F99" s="2347"/>
      <c r="G99" s="2347"/>
      <c r="H99" s="2347"/>
      <c r="I99" s="2347"/>
      <c r="J99" s="2668"/>
      <c r="K99" s="2668"/>
      <c r="L99" s="2668"/>
      <c r="M99" s="650"/>
      <c r="N99" s="2347"/>
      <c r="O99" s="2347"/>
      <c r="P99" s="2347"/>
    </row>
    <row r="100" spans="1:16" s="673" customFormat="1" ht="19.5" customHeight="1" x14ac:dyDescent="0.3">
      <c r="A100" s="3011" t="s">
        <v>918</v>
      </c>
      <c r="B100" s="2347"/>
      <c r="C100" s="2347"/>
      <c r="D100" s="2347"/>
      <c r="E100" s="2347"/>
      <c r="F100" s="2347"/>
      <c r="G100" s="2347"/>
      <c r="H100" s="2347"/>
      <c r="I100" s="2347"/>
      <c r="J100" s="2668"/>
      <c r="K100" s="2668"/>
      <c r="L100" s="2668"/>
      <c r="M100" s="650"/>
      <c r="N100" s="2347"/>
      <c r="O100" s="2347"/>
      <c r="P100" s="2347"/>
    </row>
    <row r="101" spans="1:16" s="449" customFormat="1" ht="19.5" customHeight="1" x14ac:dyDescent="0.3">
      <c r="A101" s="3012" t="s">
        <v>895</v>
      </c>
      <c r="B101" s="792"/>
      <c r="C101" s="792"/>
      <c r="D101" s="792"/>
      <c r="E101" s="792"/>
      <c r="F101" s="792"/>
      <c r="G101" s="792"/>
      <c r="H101" s="792"/>
      <c r="I101" s="792"/>
      <c r="J101" s="793"/>
      <c r="K101" s="793"/>
      <c r="L101" s="793"/>
      <c r="M101" s="823"/>
      <c r="N101" s="792"/>
      <c r="O101" s="792"/>
      <c r="P101" s="792"/>
    </row>
    <row r="102" spans="1:16" s="673" customFormat="1" ht="19.5" customHeight="1" x14ac:dyDescent="0.3">
      <c r="A102" s="3009" t="s">
        <v>848</v>
      </c>
      <c r="B102" s="2347"/>
      <c r="C102" s="2347"/>
      <c r="D102" s="2347"/>
      <c r="E102" s="2347"/>
      <c r="F102" s="2347"/>
      <c r="G102" s="2347"/>
      <c r="H102" s="2347"/>
      <c r="I102" s="2347"/>
      <c r="J102" s="2668"/>
      <c r="K102" s="2668"/>
      <c r="L102" s="2668"/>
      <c r="M102" s="650"/>
      <c r="N102" s="2347"/>
      <c r="O102" s="2347"/>
      <c r="P102" s="2347"/>
    </row>
    <row r="103" spans="1:16" s="673" customFormat="1" ht="19.5" customHeight="1" x14ac:dyDescent="0.3">
      <c r="A103" s="3009" t="s">
        <v>849</v>
      </c>
      <c r="B103" s="2347"/>
      <c r="C103" s="2347"/>
      <c r="D103" s="2347"/>
      <c r="E103" s="2347"/>
      <c r="F103" s="2347"/>
      <c r="G103" s="2347"/>
      <c r="H103" s="2347"/>
      <c r="I103" s="2347"/>
      <c r="J103" s="2668"/>
      <c r="K103" s="2668"/>
      <c r="L103" s="2668"/>
      <c r="M103" s="650"/>
      <c r="N103" s="2347"/>
      <c r="O103" s="2347"/>
      <c r="P103" s="2347"/>
    </row>
    <row r="104" spans="1:16" s="673" customFormat="1" ht="19.5" customHeight="1" x14ac:dyDescent="0.3">
      <c r="A104" s="942"/>
      <c r="B104" s="2347"/>
      <c r="C104" s="2347"/>
      <c r="D104" s="2347"/>
      <c r="E104" s="2347"/>
      <c r="F104" s="2347"/>
      <c r="G104" s="2347"/>
      <c r="H104" s="2347"/>
      <c r="I104" s="2347"/>
      <c r="J104" s="2668"/>
      <c r="K104" s="2668"/>
      <c r="L104" s="2668"/>
      <c r="M104" s="650"/>
      <c r="N104" s="2347"/>
      <c r="O104" s="2347"/>
      <c r="P104" s="2347"/>
    </row>
    <row r="105" spans="1:16" s="449" customFormat="1" ht="19.5" customHeight="1" x14ac:dyDescent="0.3">
      <c r="A105" s="791"/>
      <c r="B105" s="792"/>
      <c r="C105" s="792"/>
      <c r="D105" s="792"/>
      <c r="E105" s="792"/>
      <c r="F105" s="792"/>
      <c r="G105" s="792"/>
      <c r="H105" s="792"/>
      <c r="I105" s="792"/>
      <c r="J105" s="793"/>
      <c r="K105" s="793"/>
      <c r="L105" s="793"/>
      <c r="M105" s="823"/>
      <c r="N105" s="792"/>
      <c r="O105" s="792"/>
      <c r="P105" s="792"/>
    </row>
    <row r="106" spans="1:16" s="449" customFormat="1" ht="19.5" customHeight="1" x14ac:dyDescent="0.3">
      <c r="A106" s="791"/>
      <c r="B106" s="792"/>
      <c r="C106" s="792"/>
      <c r="D106" s="792"/>
      <c r="E106" s="792"/>
      <c r="F106" s="792"/>
      <c r="G106" s="792"/>
      <c r="H106" s="792"/>
      <c r="I106" s="792"/>
      <c r="J106" s="793"/>
      <c r="K106" s="793"/>
      <c r="L106" s="793"/>
      <c r="M106" s="823"/>
      <c r="N106" s="792"/>
      <c r="O106" s="792"/>
      <c r="P106" s="792"/>
    </row>
    <row r="107" spans="1:16" s="449" customFormat="1" ht="19.5" customHeight="1" x14ac:dyDescent="0.3">
      <c r="A107" s="791"/>
      <c r="B107" s="792"/>
      <c r="C107" s="792"/>
      <c r="D107" s="792"/>
      <c r="E107" s="792"/>
      <c r="F107" s="792"/>
      <c r="G107" s="792"/>
      <c r="H107" s="792"/>
      <c r="I107" s="792"/>
      <c r="J107" s="793"/>
      <c r="K107" s="793"/>
      <c r="L107" s="793"/>
      <c r="M107" s="823"/>
      <c r="N107" s="792"/>
      <c r="O107" s="792"/>
      <c r="P107" s="792"/>
    </row>
    <row r="108" spans="1:16" s="449" customFormat="1" ht="19.5" customHeight="1" x14ac:dyDescent="0.3">
      <c r="A108" s="791"/>
      <c r="B108" s="792"/>
      <c r="C108" s="792"/>
      <c r="D108" s="792"/>
      <c r="E108" s="792"/>
      <c r="F108" s="792"/>
      <c r="G108" s="792"/>
      <c r="H108" s="792"/>
      <c r="I108" s="792"/>
      <c r="J108" s="793"/>
      <c r="K108" s="793"/>
      <c r="L108" s="793"/>
      <c r="M108" s="823"/>
      <c r="N108" s="792"/>
      <c r="O108" s="792"/>
      <c r="P108" s="792"/>
    </row>
    <row r="109" spans="1:16" s="449" customFormat="1" ht="19.5" customHeight="1" x14ac:dyDescent="0.3">
      <c r="A109" s="791"/>
      <c r="B109" s="792"/>
      <c r="C109" s="792"/>
      <c r="D109" s="792"/>
      <c r="E109" s="792"/>
      <c r="F109" s="792"/>
      <c r="G109" s="792"/>
      <c r="H109" s="792"/>
      <c r="I109" s="792"/>
      <c r="J109" s="793"/>
      <c r="K109" s="793"/>
      <c r="L109" s="793"/>
      <c r="M109" s="823"/>
      <c r="N109" s="792"/>
      <c r="O109" s="792"/>
      <c r="P109" s="792"/>
    </row>
    <row r="110" spans="1:16" s="449" customFormat="1" ht="20.25" customHeight="1" x14ac:dyDescent="0.5">
      <c r="A110" s="791"/>
      <c r="B110" s="792"/>
      <c r="C110" s="792"/>
      <c r="D110" s="792"/>
      <c r="E110" s="792"/>
      <c r="F110" s="792"/>
      <c r="G110" s="792"/>
      <c r="H110" s="792"/>
      <c r="I110" s="792"/>
      <c r="J110" s="793"/>
      <c r="K110" s="793"/>
      <c r="L110" s="793"/>
      <c r="M110" s="792"/>
    </row>
    <row r="111" spans="1:16" ht="31.5" customHeight="1" x14ac:dyDescent="0.3">
      <c r="A111" s="791"/>
      <c r="B111" s="792"/>
      <c r="C111" s="792"/>
      <c r="D111" s="792"/>
      <c r="E111" s="792"/>
      <c r="F111" s="792"/>
      <c r="G111" s="792"/>
      <c r="H111" s="792"/>
      <c r="I111" s="792"/>
      <c r="J111" s="793"/>
      <c r="K111" s="793"/>
      <c r="L111" s="793"/>
      <c r="M111" s="792"/>
    </row>
    <row r="112" spans="1:16" ht="30" customHeight="1" x14ac:dyDescent="0.3">
      <c r="A112" s="1745"/>
      <c r="B112" s="1746"/>
      <c r="M112" s="1639"/>
      <c r="N112" s="3437"/>
      <c r="O112" s="3438"/>
      <c r="P112" s="669"/>
    </row>
    <row r="113" spans="1:17" ht="30" customHeight="1" x14ac:dyDescent="0.3">
      <c r="A113" s="3458"/>
      <c r="B113" s="3458"/>
      <c r="C113" s="3438"/>
      <c r="D113" s="3458"/>
      <c r="E113" s="3458"/>
      <c r="F113" s="3458"/>
      <c r="G113" s="3458"/>
      <c r="H113" s="3458"/>
      <c r="I113" s="3458"/>
      <c r="J113" s="3463"/>
      <c r="K113" s="3437"/>
      <c r="L113" s="3437"/>
      <c r="M113" s="668"/>
      <c r="N113" s="3437"/>
      <c r="O113" s="3438"/>
      <c r="P113" s="669"/>
    </row>
    <row r="114" spans="1:17" s="31" customFormat="1" x14ac:dyDescent="0.25">
      <c r="A114" s="3458"/>
      <c r="B114" s="3458"/>
      <c r="C114" s="3438"/>
      <c r="D114" s="668"/>
      <c r="E114" s="668"/>
      <c r="F114" s="668"/>
      <c r="G114" s="668"/>
      <c r="H114" s="668"/>
      <c r="I114" s="668"/>
      <c r="J114" s="3463"/>
      <c r="K114" s="3437"/>
      <c r="L114" s="3437"/>
      <c r="M114" s="668"/>
      <c r="N114" s="1241"/>
      <c r="O114" s="1241"/>
      <c r="P114" s="1241"/>
    </row>
    <row r="115" spans="1:17" s="31" customFormat="1" ht="15.75" x14ac:dyDescent="0.25">
      <c r="A115" s="1747"/>
      <c r="B115" s="2273"/>
      <c r="C115" s="1748"/>
      <c r="D115" s="1749"/>
      <c r="E115" s="1750"/>
      <c r="F115" s="1750"/>
      <c r="G115" s="1751"/>
      <c r="H115" s="1751"/>
      <c r="I115" s="1751"/>
      <c r="J115" s="1751"/>
      <c r="K115" s="1241"/>
      <c r="L115" s="1241"/>
      <c r="M115" s="2274"/>
      <c r="N115" s="1242"/>
      <c r="O115" s="1242"/>
      <c r="P115" s="1241"/>
      <c r="Q115" s="1004"/>
    </row>
    <row r="116" spans="1:17" s="31" customFormat="1" ht="15.75" x14ac:dyDescent="0.25">
      <c r="A116" s="1747"/>
      <c r="B116" s="1752"/>
      <c r="C116" s="1754"/>
      <c r="D116" s="1749"/>
      <c r="E116" s="1750"/>
      <c r="F116" s="1750"/>
      <c r="G116" s="1751"/>
      <c r="H116" s="1751"/>
      <c r="I116" s="1751"/>
      <c r="J116" s="1751"/>
      <c r="K116" s="1242"/>
      <c r="L116" s="1242"/>
      <c r="M116" s="1753"/>
      <c r="N116" s="1242"/>
      <c r="O116" s="1242"/>
      <c r="P116" s="1241"/>
    </row>
    <row r="117" spans="1:17" s="31" customFormat="1" ht="15.75" x14ac:dyDescent="0.25">
      <c r="A117" s="1747"/>
      <c r="B117" s="1752"/>
      <c r="C117" s="1754"/>
      <c r="D117" s="1749"/>
      <c r="E117" s="1750"/>
      <c r="F117" s="1750"/>
      <c r="G117" s="1751"/>
      <c r="H117" s="1751"/>
      <c r="I117" s="1751"/>
      <c r="J117" s="1751"/>
      <c r="K117" s="1242"/>
      <c r="L117" s="1242"/>
      <c r="M117" s="1753"/>
      <c r="N117" s="1242"/>
      <c r="O117" s="1242"/>
      <c r="P117" s="1241"/>
    </row>
    <row r="118" spans="1:17" s="31" customFormat="1" ht="15.75" x14ac:dyDescent="0.25">
      <c r="A118" s="1747"/>
      <c r="B118" s="1752"/>
      <c r="C118" s="1754"/>
      <c r="D118" s="1749"/>
      <c r="E118" s="1750"/>
      <c r="F118" s="1750"/>
      <c r="G118" s="1751"/>
      <c r="H118" s="1751"/>
      <c r="I118" s="1751"/>
      <c r="J118" s="1751"/>
      <c r="K118" s="1242"/>
      <c r="L118" s="1242"/>
      <c r="M118" s="1753"/>
      <c r="N118" s="1242"/>
      <c r="O118" s="1242"/>
      <c r="P118" s="1241"/>
    </row>
    <row r="119" spans="1:17" s="31" customFormat="1" ht="15.75" x14ac:dyDescent="0.25">
      <c r="A119" s="1747"/>
      <c r="B119" s="1752"/>
      <c r="C119" s="1754"/>
      <c r="D119" s="1749"/>
      <c r="E119" s="1750"/>
      <c r="F119" s="1750"/>
      <c r="G119" s="1751"/>
      <c r="H119" s="1751"/>
      <c r="I119" s="1751"/>
      <c r="J119" s="1751"/>
      <c r="K119" s="1242"/>
      <c r="L119" s="1242"/>
      <c r="M119" s="1753"/>
      <c r="N119" s="1242"/>
      <c r="O119" s="1242"/>
      <c r="P119" s="1241"/>
    </row>
    <row r="120" spans="1:17" s="31" customFormat="1" ht="15.75" x14ac:dyDescent="0.25">
      <c r="A120" s="1747"/>
      <c r="B120" s="1752"/>
      <c r="C120" s="1754"/>
      <c r="D120" s="1755"/>
      <c r="E120" s="1750"/>
      <c r="F120" s="1750"/>
      <c r="G120" s="1751"/>
      <c r="H120" s="1751"/>
      <c r="I120" s="1751"/>
      <c r="J120" s="1751"/>
      <c r="K120" s="1242"/>
      <c r="L120" s="1242"/>
      <c r="M120" s="1753"/>
      <c r="N120" s="1242"/>
      <c r="O120" s="1242"/>
      <c r="P120" s="1241"/>
    </row>
    <row r="121" spans="1:17" s="31" customFormat="1" ht="15.75" x14ac:dyDescent="0.25">
      <c r="A121" s="1747"/>
      <c r="B121" s="1752"/>
      <c r="C121" s="1754"/>
      <c r="D121" s="1755"/>
      <c r="E121" s="1750"/>
      <c r="F121" s="1750"/>
      <c r="G121" s="1751"/>
      <c r="H121" s="1751"/>
      <c r="I121" s="1751"/>
      <c r="J121" s="1751"/>
      <c r="K121" s="1242"/>
      <c r="L121" s="1242"/>
      <c r="M121" s="1753"/>
      <c r="N121" s="1242"/>
      <c r="O121" s="1242"/>
      <c r="P121" s="1241"/>
    </row>
    <row r="122" spans="1:17" s="31" customFormat="1" ht="15.75" x14ac:dyDescent="0.25">
      <c r="A122" s="1747"/>
      <c r="B122" s="1752"/>
      <c r="C122" s="1754"/>
      <c r="D122" s="1755"/>
      <c r="E122" s="1750"/>
      <c r="F122" s="1750"/>
      <c r="G122" s="1751"/>
      <c r="H122" s="1751"/>
      <c r="I122" s="1751"/>
      <c r="J122" s="1751"/>
      <c r="K122" s="1242"/>
      <c r="L122" s="1242"/>
      <c r="M122" s="1753"/>
      <c r="N122" s="1242"/>
      <c r="O122" s="1242"/>
      <c r="P122" s="1242"/>
    </row>
    <row r="123" spans="1:17" s="60" customFormat="1" ht="34.5" customHeight="1" x14ac:dyDescent="0.25">
      <c r="A123" s="1747"/>
      <c r="B123" s="1752"/>
      <c r="C123" s="1754"/>
      <c r="D123" s="1539"/>
      <c r="E123" s="1750"/>
      <c r="F123" s="1750"/>
      <c r="G123" s="1751"/>
      <c r="H123" s="1751"/>
      <c r="I123" s="1751"/>
      <c r="J123" s="1751"/>
      <c r="K123" s="1242"/>
      <c r="L123" s="1242"/>
      <c r="M123" s="1753"/>
      <c r="N123" s="1243"/>
      <c r="O123" s="1243"/>
      <c r="P123" s="1243"/>
    </row>
    <row r="124" spans="1:17" s="31" customFormat="1" ht="15.75" x14ac:dyDescent="0.25">
      <c r="A124" s="1756"/>
      <c r="B124" s="1757"/>
      <c r="C124" s="1758"/>
      <c r="D124" s="1759"/>
      <c r="E124" s="1759"/>
      <c r="F124" s="1759"/>
      <c r="G124" s="1760"/>
      <c r="H124" s="1760"/>
      <c r="I124" s="1760"/>
      <c r="J124" s="1760"/>
      <c r="K124" s="1243"/>
      <c r="L124" s="1243"/>
      <c r="M124" s="1757"/>
    </row>
    <row r="125" spans="1:17" x14ac:dyDescent="0.3">
      <c r="A125" s="31"/>
      <c r="B125" s="31"/>
      <c r="C125" s="31"/>
      <c r="D125" s="31"/>
      <c r="E125" s="555"/>
      <c r="F125" s="31"/>
      <c r="G125" s="1761"/>
      <c r="H125" s="31"/>
      <c r="I125" s="1761"/>
      <c r="J125" s="31"/>
      <c r="K125" s="31"/>
      <c r="L125" s="31"/>
      <c r="M125" s="555"/>
    </row>
    <row r="126" spans="1:17" x14ac:dyDescent="0.3">
      <c r="B126" s="665"/>
      <c r="M126" s="954"/>
    </row>
  </sheetData>
  <mergeCells count="19">
    <mergeCell ref="N112:N113"/>
    <mergeCell ref="O112:O113"/>
    <mergeCell ref="A113:A114"/>
    <mergeCell ref="B113:B114"/>
    <mergeCell ref="C113:C114"/>
    <mergeCell ref="D113:I113"/>
    <mergeCell ref="J113:J114"/>
    <mergeCell ref="K113:K114"/>
    <mergeCell ref="L113:L114"/>
    <mergeCell ref="A1:J1"/>
    <mergeCell ref="L1:M1"/>
    <mergeCell ref="K2:L2"/>
    <mergeCell ref="C3:E3"/>
    <mergeCell ref="F3:F4"/>
    <mergeCell ref="G3:L3"/>
    <mergeCell ref="M3:M6"/>
    <mergeCell ref="D4:D5"/>
    <mergeCell ref="E4:E6"/>
    <mergeCell ref="J5:J6"/>
  </mergeCells>
  <pageMargins left="0" right="0" top="0" bottom="0" header="0.31496062992125984" footer="0.31496062992125984"/>
  <pageSetup paperSize="9" scale="92" orientation="landscape" r:id="rId1"/>
  <rowBreaks count="3" manualBreakCount="3">
    <brk id="29" max="21" man="1"/>
    <brk id="56" max="21" man="1"/>
    <brk id="78" max="21" man="1"/>
  </rowBreaks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A1:L77"/>
  <sheetViews>
    <sheetView tabSelected="1" view="pageBreakPreview" zoomScale="110" zoomScaleNormal="100" zoomScaleSheetLayoutView="110" workbookViewId="0">
      <pane ySplit="4" topLeftCell="A29" activePane="bottomLeft" state="frozen"/>
      <selection pane="bottomLeft" activeCell="D4" sqref="D4"/>
    </sheetView>
  </sheetViews>
  <sheetFormatPr defaultColWidth="9.140625" defaultRowHeight="17.25" x14ac:dyDescent="0.3"/>
  <cols>
    <col min="1" max="1" width="26.28515625" style="3" customWidth="1"/>
    <col min="2" max="2" width="12.140625" style="1168" customWidth="1"/>
    <col min="3" max="3" width="12.28515625" style="31" customWidth="1"/>
    <col min="4" max="4" width="12.5703125" style="520" customWidth="1"/>
    <col min="5" max="5" width="12.140625" style="523" customWidth="1"/>
    <col min="6" max="6" width="11" style="520" customWidth="1"/>
    <col min="7" max="7" width="9.5703125" style="472" customWidth="1"/>
    <col min="8" max="8" width="14.42578125" style="472" customWidth="1"/>
    <col min="9" max="9" width="10.42578125" style="548" customWidth="1"/>
    <col min="10" max="10" width="12.28515625" style="3" bestFit="1" customWidth="1"/>
    <col min="11" max="11" width="10.140625" style="3" bestFit="1" customWidth="1"/>
    <col min="12" max="12" width="11.5703125" style="3" bestFit="1" customWidth="1"/>
    <col min="13" max="16384" width="9.140625" style="3"/>
  </cols>
  <sheetData>
    <row r="1" spans="1:12" ht="19.5" customHeight="1" thickBot="1" x14ac:dyDescent="0.35">
      <c r="A1" s="3136" t="s">
        <v>498</v>
      </c>
      <c r="B1" s="3136"/>
      <c r="C1" s="3136"/>
      <c r="D1" s="3136"/>
      <c r="E1" s="3136"/>
      <c r="F1" s="3136"/>
      <c r="G1" s="3136"/>
      <c r="H1" s="3136"/>
      <c r="I1" s="782"/>
    </row>
    <row r="2" spans="1:12" s="6" customFormat="1" ht="19.5" customHeight="1" thickTop="1" x14ac:dyDescent="0.5">
      <c r="A2" s="4"/>
      <c r="B2" s="2862"/>
      <c r="C2" s="2863" t="s">
        <v>39</v>
      </c>
      <c r="D2" s="3478" t="s">
        <v>403</v>
      </c>
      <c r="E2" s="3478"/>
      <c r="F2" s="3478"/>
      <c r="G2" s="3478"/>
      <c r="H2" s="3479"/>
      <c r="I2" s="783"/>
    </row>
    <row r="3" spans="1:12" s="6" customFormat="1" ht="19.5" customHeight="1" x14ac:dyDescent="0.5">
      <c r="A3" s="7" t="s">
        <v>0</v>
      </c>
      <c r="B3" s="2864" t="s">
        <v>26</v>
      </c>
      <c r="C3" s="711" t="s">
        <v>29</v>
      </c>
      <c r="D3" s="3480">
        <v>45653</v>
      </c>
      <c r="E3" s="3480"/>
      <c r="F3" s="3480"/>
      <c r="G3" s="3480"/>
      <c r="H3" s="3481"/>
      <c r="I3" s="783"/>
    </row>
    <row r="4" spans="1:12" s="6" customFormat="1" ht="19.5" customHeight="1" x14ac:dyDescent="0.5">
      <c r="A4" s="7"/>
      <c r="B4" s="2864" t="s">
        <v>70</v>
      </c>
      <c r="C4" s="711" t="s">
        <v>965</v>
      </c>
      <c r="D4" s="2865" t="s">
        <v>28</v>
      </c>
      <c r="E4" s="2866" t="s">
        <v>34</v>
      </c>
      <c r="F4" s="2867" t="s">
        <v>62</v>
      </c>
      <c r="G4" s="2868" t="s">
        <v>22</v>
      </c>
      <c r="H4" s="2869" t="s">
        <v>16</v>
      </c>
      <c r="I4" s="783"/>
    </row>
    <row r="5" spans="1:12" s="6" customFormat="1" ht="19.5" customHeight="1" x14ac:dyDescent="0.5">
      <c r="A5" s="12"/>
      <c r="B5" s="2870">
        <v>2567</v>
      </c>
      <c r="C5" s="2871"/>
      <c r="D5" s="2872" t="s">
        <v>58</v>
      </c>
      <c r="E5" s="2873"/>
      <c r="F5" s="2874"/>
      <c r="G5" s="1" t="s">
        <v>63</v>
      </c>
      <c r="H5" s="2875"/>
      <c r="I5" s="783"/>
    </row>
    <row r="6" spans="1:12" s="6" customFormat="1" ht="19.5" customHeight="1" x14ac:dyDescent="0.5">
      <c r="A6" s="33" t="s">
        <v>940</v>
      </c>
      <c r="B6" s="2914">
        <v>20864100</v>
      </c>
      <c r="C6" s="2808">
        <v>14990100</v>
      </c>
      <c r="D6" s="361"/>
      <c r="E6" s="451"/>
      <c r="F6" s="362"/>
      <c r="G6" s="32"/>
      <c r="H6" s="44"/>
      <c r="I6" s="705"/>
    </row>
    <row r="7" spans="1:12" s="6" customFormat="1" ht="21" customHeight="1" x14ac:dyDescent="0.5">
      <c r="A7" s="33"/>
      <c r="B7" s="2842"/>
      <c r="C7" s="2809"/>
      <c r="D7" s="361"/>
      <c r="E7" s="451"/>
      <c r="F7" s="362"/>
      <c r="G7" s="32"/>
      <c r="H7" s="44"/>
      <c r="I7" s="705"/>
      <c r="J7" s="712">
        <v>11989900</v>
      </c>
    </row>
    <row r="8" spans="1:12" s="6" customFormat="1" ht="21" customHeight="1" x14ac:dyDescent="0.3">
      <c r="A8" s="33" t="s">
        <v>822</v>
      </c>
      <c r="B8" s="2915">
        <v>3416400</v>
      </c>
      <c r="C8" s="2876">
        <v>3000200</v>
      </c>
      <c r="D8" s="361"/>
      <c r="E8" s="451"/>
      <c r="F8" s="362"/>
      <c r="G8" s="704"/>
      <c r="H8" s="703"/>
      <c r="I8" s="705"/>
      <c r="J8" s="2765"/>
    </row>
    <row r="9" spans="1:12" s="30" customFormat="1" ht="21" customHeight="1" x14ac:dyDescent="0.5">
      <c r="A9" s="706" t="s">
        <v>74</v>
      </c>
      <c r="B9" s="2916"/>
      <c r="C9" s="2810"/>
      <c r="D9" s="705"/>
      <c r="E9" s="532"/>
      <c r="F9" s="533" t="s">
        <v>91</v>
      </c>
      <c r="G9" s="709"/>
      <c r="H9" s="710"/>
      <c r="I9" s="705"/>
      <c r="J9" s="998">
        <v>26803900</v>
      </c>
    </row>
    <row r="10" spans="1:12" s="6" customFormat="1" ht="21" customHeight="1" x14ac:dyDescent="0.5">
      <c r="A10" s="33" t="s">
        <v>821</v>
      </c>
      <c r="B10" s="2842">
        <v>1136120</v>
      </c>
      <c r="C10" s="2809">
        <v>1268900</v>
      </c>
      <c r="D10" s="361"/>
      <c r="E10" s="451"/>
      <c r="F10" s="362"/>
      <c r="G10" s="704"/>
      <c r="H10" s="703"/>
      <c r="I10" s="361"/>
      <c r="J10" s="2765">
        <v>9512800</v>
      </c>
    </row>
    <row r="11" spans="1:12" s="6" customFormat="1" ht="21" customHeight="1" x14ac:dyDescent="0.5">
      <c r="A11" s="33"/>
      <c r="B11" s="2917"/>
      <c r="C11" s="2811"/>
      <c r="D11" s="361"/>
      <c r="E11" s="451"/>
      <c r="F11" s="362"/>
      <c r="G11" s="704"/>
      <c r="H11" s="703"/>
      <c r="I11" s="361"/>
      <c r="J11" s="2765">
        <v>17291100</v>
      </c>
    </row>
    <row r="12" spans="1:12" s="6" customFormat="1" ht="21" customHeight="1" x14ac:dyDescent="0.25">
      <c r="A12" s="33" t="s">
        <v>828</v>
      </c>
      <c r="B12" s="2328">
        <v>7931200</v>
      </c>
      <c r="C12" s="2877">
        <v>8861800</v>
      </c>
      <c r="D12" s="2324">
        <v>974000</v>
      </c>
      <c r="E12" s="451">
        <v>0</v>
      </c>
      <c r="F12" s="362">
        <v>974000</v>
      </c>
      <c r="G12" s="64">
        <v>10.990995057437541</v>
      </c>
      <c r="H12" s="2338">
        <v>7887800</v>
      </c>
      <c r="I12" s="705"/>
      <c r="J12" s="2765"/>
    </row>
    <row r="13" spans="1:12" s="30" customFormat="1" ht="12" customHeight="1" thickBot="1" x14ac:dyDescent="0.55000000000000004">
      <c r="A13" s="706"/>
      <c r="B13" s="2812"/>
      <c r="C13" s="708"/>
      <c r="D13" s="705"/>
      <c r="E13" s="532"/>
      <c r="F13" s="533"/>
      <c r="G13" s="709"/>
      <c r="H13" s="710"/>
      <c r="I13" s="705"/>
    </row>
    <row r="14" spans="1:12" s="17" customFormat="1" ht="19.5" customHeight="1" thickTop="1" thickBot="1" x14ac:dyDescent="0.35">
      <c r="A14" s="2906" t="s">
        <v>966</v>
      </c>
      <c r="B14" s="2907">
        <v>24242780</v>
      </c>
      <c r="C14" s="2908">
        <v>19582800</v>
      </c>
      <c r="D14" s="2909"/>
      <c r="E14" s="2910"/>
      <c r="F14" s="2911"/>
      <c r="G14" s="2912"/>
      <c r="H14" s="2913"/>
      <c r="I14" s="718"/>
      <c r="K14" s="16">
        <v>23851900</v>
      </c>
      <c r="L14" s="74">
        <v>4687427</v>
      </c>
    </row>
    <row r="15" spans="1:12" s="17" customFormat="1" ht="19.5" customHeight="1" thickTop="1" x14ac:dyDescent="0.4">
      <c r="A15" s="15" t="s">
        <v>967</v>
      </c>
      <c r="B15" s="2813">
        <v>4360959.9399999995</v>
      </c>
      <c r="C15" s="46">
        <v>4607427</v>
      </c>
      <c r="D15" s="2322">
        <v>560474.9</v>
      </c>
      <c r="E15" s="2323">
        <v>73242</v>
      </c>
      <c r="F15" s="2323">
        <v>487232.9</v>
      </c>
      <c r="G15" s="47">
        <v>10.574945625834115</v>
      </c>
      <c r="H15" s="2337">
        <v>4046952.1</v>
      </c>
      <c r="I15" s="784"/>
    </row>
    <row r="16" spans="1:12" ht="18.75" customHeight="1" x14ac:dyDescent="0.3">
      <c r="A16" s="205" t="s">
        <v>47</v>
      </c>
      <c r="B16" s="2814">
        <v>1800703.1199999999</v>
      </c>
      <c r="C16" s="48">
        <v>1959802</v>
      </c>
      <c r="D16" s="2325">
        <v>140199.52000000002</v>
      </c>
      <c r="E16" s="76">
        <v>23512</v>
      </c>
      <c r="F16" s="76">
        <v>116687.52</v>
      </c>
      <c r="G16" s="63">
        <v>5.9540463781545281</v>
      </c>
      <c r="H16" s="2338">
        <v>1819602.48</v>
      </c>
      <c r="I16" s="785">
        <v>1959802</v>
      </c>
    </row>
    <row r="17" spans="1:12" ht="18.75" customHeight="1" x14ac:dyDescent="0.3">
      <c r="A17" s="205" t="s">
        <v>48</v>
      </c>
      <c r="B17" s="1224">
        <v>28708</v>
      </c>
      <c r="C17" s="48">
        <v>14000</v>
      </c>
      <c r="D17" s="2324">
        <v>4259.66</v>
      </c>
      <c r="E17" s="76">
        <v>990</v>
      </c>
      <c r="F17" s="76">
        <v>3269.66</v>
      </c>
      <c r="G17" s="64">
        <v>23.354714285714287</v>
      </c>
      <c r="H17" s="2338">
        <v>9740.34</v>
      </c>
      <c r="I17" s="785">
        <v>14000</v>
      </c>
    </row>
    <row r="18" spans="1:12" ht="18.75" customHeight="1" x14ac:dyDescent="0.3">
      <c r="A18" s="205" t="s">
        <v>49</v>
      </c>
      <c r="B18" s="1224">
        <v>127622.94</v>
      </c>
      <c r="C18" s="48">
        <v>381700</v>
      </c>
      <c r="D18" s="2324">
        <v>29367.86</v>
      </c>
      <c r="E18" s="76">
        <v>680</v>
      </c>
      <c r="F18" s="76">
        <v>28687.86</v>
      </c>
      <c r="G18" s="64">
        <v>7.5158134660728324</v>
      </c>
      <c r="H18" s="2338">
        <v>352332.14</v>
      </c>
      <c r="I18" s="785">
        <v>381700</v>
      </c>
    </row>
    <row r="19" spans="1:12" ht="18.75" customHeight="1" x14ac:dyDescent="0.3">
      <c r="A19" s="205" t="s">
        <v>50</v>
      </c>
      <c r="B19" s="1224">
        <v>87430</v>
      </c>
      <c r="C19" s="48">
        <v>135750</v>
      </c>
      <c r="D19" s="2324">
        <v>17265</v>
      </c>
      <c r="E19" s="76">
        <v>0</v>
      </c>
      <c r="F19" s="76">
        <v>17265</v>
      </c>
      <c r="G19" s="64">
        <v>12.718232044198896</v>
      </c>
      <c r="H19" s="2338">
        <v>118485</v>
      </c>
      <c r="I19" s="785">
        <v>135750</v>
      </c>
    </row>
    <row r="20" spans="1:12" ht="18.75" customHeight="1" x14ac:dyDescent="0.3">
      <c r="A20" s="205" t="s">
        <v>54</v>
      </c>
      <c r="B20" s="1129">
        <v>763336.6</v>
      </c>
      <c r="C20" s="581">
        <v>499800</v>
      </c>
      <c r="D20" s="2324">
        <v>164680</v>
      </c>
      <c r="E20" s="76">
        <v>44240</v>
      </c>
      <c r="F20" s="76">
        <v>120440</v>
      </c>
      <c r="G20" s="76">
        <v>24.097639055622249</v>
      </c>
      <c r="H20" s="2338">
        <v>335120</v>
      </c>
      <c r="I20" s="785">
        <v>499800</v>
      </c>
    </row>
    <row r="21" spans="1:12" ht="18.75" customHeight="1" x14ac:dyDescent="0.3">
      <c r="A21" s="205" t="s">
        <v>53</v>
      </c>
      <c r="B21" s="1224">
        <v>615326</v>
      </c>
      <c r="C21" s="48">
        <v>622075</v>
      </c>
      <c r="D21" s="2324">
        <v>160088</v>
      </c>
      <c r="E21" s="76">
        <v>0</v>
      </c>
      <c r="F21" s="76">
        <v>160088</v>
      </c>
      <c r="G21" s="64">
        <v>25.734517542097013</v>
      </c>
      <c r="H21" s="2338">
        <v>461987</v>
      </c>
      <c r="I21" s="785">
        <v>622075</v>
      </c>
      <c r="L21" s="19">
        <v>4777427</v>
      </c>
    </row>
    <row r="22" spans="1:12" ht="18.75" customHeight="1" x14ac:dyDescent="0.3">
      <c r="A22" s="205" t="s">
        <v>51</v>
      </c>
      <c r="B22" s="1224">
        <v>260797.09</v>
      </c>
      <c r="C22" s="48">
        <v>213000</v>
      </c>
      <c r="D22" s="2324">
        <v>13240</v>
      </c>
      <c r="E22" s="76">
        <v>0</v>
      </c>
      <c r="F22" s="76">
        <v>13240</v>
      </c>
      <c r="G22" s="64">
        <v>6.215962441314554</v>
      </c>
      <c r="H22" s="2338">
        <v>199760</v>
      </c>
      <c r="I22" s="785">
        <v>213000</v>
      </c>
    </row>
    <row r="23" spans="1:12" ht="18.75" customHeight="1" x14ac:dyDescent="0.3">
      <c r="A23" s="205" t="s">
        <v>55</v>
      </c>
      <c r="B23" s="1224">
        <v>252119</v>
      </c>
      <c r="C23" s="48">
        <v>221200</v>
      </c>
      <c r="D23" s="2324">
        <v>14218</v>
      </c>
      <c r="E23" s="76">
        <v>3820</v>
      </c>
      <c r="F23" s="76">
        <v>10398</v>
      </c>
      <c r="G23" s="64">
        <v>4.7007233273056057</v>
      </c>
      <c r="H23" s="2338">
        <v>206982</v>
      </c>
      <c r="I23" s="785">
        <v>221200</v>
      </c>
    </row>
    <row r="24" spans="1:12" ht="18.75" customHeight="1" x14ac:dyDescent="0.3">
      <c r="A24" s="18" t="s">
        <v>52</v>
      </c>
      <c r="B24" s="1224">
        <v>119400</v>
      </c>
      <c r="C24" s="48">
        <v>80100</v>
      </c>
      <c r="D24" s="2324">
        <v>10698.36</v>
      </c>
      <c r="E24" s="76">
        <v>0</v>
      </c>
      <c r="F24" s="76">
        <v>10698.36</v>
      </c>
      <c r="G24" s="64">
        <v>13.35625468164794</v>
      </c>
      <c r="H24" s="2338">
        <v>69401.64</v>
      </c>
      <c r="I24" s="785">
        <v>80100</v>
      </c>
    </row>
    <row r="25" spans="1:12" ht="18.75" customHeight="1" x14ac:dyDescent="0.3">
      <c r="A25" s="205" t="s">
        <v>56</v>
      </c>
      <c r="B25" s="1224">
        <v>305517.19</v>
      </c>
      <c r="C25" s="48">
        <v>480000</v>
      </c>
      <c r="D25" s="2324">
        <v>6458.5</v>
      </c>
      <c r="E25" s="76">
        <v>0</v>
      </c>
      <c r="F25" s="76">
        <v>6458.5</v>
      </c>
      <c r="G25" s="64">
        <v>1.3455208333333333</v>
      </c>
      <c r="H25" s="2338">
        <v>473541.5</v>
      </c>
      <c r="I25" s="785">
        <v>480000</v>
      </c>
    </row>
    <row r="26" spans="1:12" s="17" customFormat="1" ht="13.5" customHeight="1" x14ac:dyDescent="0.3">
      <c r="A26" s="15"/>
      <c r="B26" s="2815"/>
      <c r="C26" s="50"/>
      <c r="D26" s="2326"/>
      <c r="E26" s="2327"/>
      <c r="F26" s="2327"/>
      <c r="G26" s="51"/>
      <c r="H26" s="2339"/>
      <c r="I26" s="785">
        <v>0</v>
      </c>
    </row>
    <row r="27" spans="1:12" s="17" customFormat="1" ht="19.5" customHeight="1" x14ac:dyDescent="0.3">
      <c r="A27" s="15" t="s">
        <v>957</v>
      </c>
      <c r="B27" s="2328">
        <v>14431340</v>
      </c>
      <c r="C27" s="2837">
        <v>14805373</v>
      </c>
      <c r="D27" s="2326">
        <v>2953736.55</v>
      </c>
      <c r="E27" s="2328">
        <v>1354640.55</v>
      </c>
      <c r="F27" s="2328">
        <v>1599096</v>
      </c>
      <c r="G27" s="51">
        <v>10.800781581119233</v>
      </c>
      <c r="H27" s="2339">
        <v>11851636.449999999</v>
      </c>
      <c r="I27" s="785">
        <v>14805373</v>
      </c>
    </row>
    <row r="28" spans="1:12" s="17" customFormat="1" ht="13.5" customHeight="1" x14ac:dyDescent="0.3">
      <c r="A28" s="15"/>
      <c r="B28" s="34"/>
      <c r="C28" s="2837"/>
      <c r="D28" s="2329"/>
      <c r="E28" s="2328"/>
      <c r="F28" s="2328"/>
      <c r="G28" s="51"/>
      <c r="H28" s="2339"/>
      <c r="I28" s="785"/>
    </row>
    <row r="29" spans="1:12" s="30" customFormat="1" ht="19.5" customHeight="1" x14ac:dyDescent="0.3">
      <c r="A29" s="15" t="s">
        <v>958</v>
      </c>
      <c r="B29" s="2840">
        <v>4930479.5999999996</v>
      </c>
      <c r="C29" s="2809">
        <v>0</v>
      </c>
      <c r="D29" s="2330">
        <v>0</v>
      </c>
      <c r="E29" s="2331">
        <v>0</v>
      </c>
      <c r="F29" s="2331">
        <v>0</v>
      </c>
      <c r="G29" s="51" t="e">
        <v>#DIV/0!</v>
      </c>
      <c r="H29" s="2340">
        <v>0</v>
      </c>
      <c r="I29" s="785">
        <v>0</v>
      </c>
    </row>
    <row r="30" spans="1:12" s="30" customFormat="1" ht="12.75" customHeight="1" x14ac:dyDescent="0.3">
      <c r="A30" s="15"/>
      <c r="B30" s="34"/>
      <c r="C30" s="2809"/>
      <c r="D30" s="2330"/>
      <c r="E30" s="2331"/>
      <c r="F30" s="2331"/>
      <c r="G30" s="51"/>
      <c r="H30" s="2340"/>
      <c r="I30" s="785"/>
    </row>
    <row r="31" spans="1:12" s="30" customFormat="1" ht="19.5" customHeight="1" x14ac:dyDescent="0.25">
      <c r="A31" s="851" t="s">
        <v>959</v>
      </c>
      <c r="B31" s="2841">
        <v>73676.600000000006</v>
      </c>
      <c r="C31" s="2838">
        <v>80000</v>
      </c>
      <c r="D31" s="2330">
        <v>34764</v>
      </c>
      <c r="E31" s="2331">
        <v>0</v>
      </c>
      <c r="F31" s="2331">
        <v>34764</v>
      </c>
      <c r="G31" s="51">
        <v>43.454999999999998</v>
      </c>
      <c r="H31" s="2340">
        <v>45236</v>
      </c>
      <c r="I31" s="785">
        <v>80000</v>
      </c>
    </row>
    <row r="32" spans="1:12" s="30" customFormat="1" ht="17.25" customHeight="1" x14ac:dyDescent="0.25">
      <c r="A32" s="851"/>
      <c r="B32" s="2841"/>
      <c r="C32" s="2878"/>
      <c r="D32" s="2879"/>
      <c r="E32" s="2880"/>
      <c r="F32" s="2880"/>
      <c r="G32" s="2881"/>
      <c r="H32" s="2882"/>
      <c r="I32" s="785">
        <v>0</v>
      </c>
    </row>
    <row r="33" spans="1:10" s="17" customFormat="1" ht="19.5" customHeight="1" x14ac:dyDescent="0.3">
      <c r="A33" s="851" t="s">
        <v>960</v>
      </c>
      <c r="B33" s="2842">
        <v>76323.399999999994</v>
      </c>
      <c r="C33" s="2839">
        <v>90000</v>
      </c>
      <c r="D33" s="2330">
        <v>0</v>
      </c>
      <c r="E33" s="2328">
        <v>0</v>
      </c>
      <c r="F33" s="2328">
        <v>0</v>
      </c>
      <c r="G33" s="51">
        <v>0</v>
      </c>
      <c r="H33" s="2340">
        <v>90000</v>
      </c>
      <c r="I33" s="785">
        <v>90000</v>
      </c>
    </row>
    <row r="34" spans="1:10" s="30" customFormat="1" ht="17.25" customHeight="1" x14ac:dyDescent="0.25">
      <c r="A34" s="851"/>
      <c r="B34" s="2841"/>
      <c r="C34" s="2878"/>
      <c r="D34" s="2879"/>
      <c r="E34" s="2880"/>
      <c r="F34" s="2880"/>
      <c r="G34" s="2881"/>
      <c r="H34" s="2882"/>
      <c r="I34" s="785">
        <v>0</v>
      </c>
    </row>
    <row r="35" spans="1:10" s="17" customFormat="1" ht="19.5" customHeight="1" x14ac:dyDescent="0.3">
      <c r="A35" s="851" t="s">
        <v>968</v>
      </c>
      <c r="B35" s="2842">
        <v>370000</v>
      </c>
      <c r="C35" s="2839">
        <v>0</v>
      </c>
      <c r="D35" s="2670"/>
      <c r="E35" s="2328"/>
      <c r="F35" s="2328"/>
      <c r="G35" s="51"/>
      <c r="H35" s="2340"/>
      <c r="I35" s="785">
        <v>0</v>
      </c>
    </row>
    <row r="36" spans="1:10" s="30" customFormat="1" ht="13.5" customHeight="1" thickBot="1" x14ac:dyDescent="0.3">
      <c r="A36" s="209"/>
      <c r="B36" s="2883"/>
      <c r="C36" s="2884"/>
      <c r="D36" s="2879"/>
      <c r="E36" s="2880"/>
      <c r="F36" s="2880"/>
      <c r="G36" s="2881"/>
      <c r="H36" s="2882"/>
      <c r="I36" s="785">
        <v>0</v>
      </c>
    </row>
    <row r="37" spans="1:10" s="17" customFormat="1" ht="24" customHeight="1" thickTop="1" thickBot="1" x14ac:dyDescent="0.35">
      <c r="A37" s="2835" t="s">
        <v>961</v>
      </c>
      <c r="B37" s="2885">
        <v>24242779.539999999</v>
      </c>
      <c r="C37" s="2886">
        <v>19582800</v>
      </c>
      <c r="D37" s="2836">
        <v>3548975.45</v>
      </c>
      <c r="E37" s="2887">
        <v>1427882.55</v>
      </c>
      <c r="F37" s="2887">
        <v>2121092.9</v>
      </c>
      <c r="G37" s="2964">
        <v>10.831407663868292</v>
      </c>
      <c r="H37" s="2886">
        <v>16033824.550000001</v>
      </c>
      <c r="I37" s="785">
        <v>19582800</v>
      </c>
      <c r="J37" s="74"/>
    </row>
    <row r="38" spans="1:10" s="24" customFormat="1" ht="19.5" customHeight="1" thickTop="1" thickBot="1" x14ac:dyDescent="0.3">
      <c r="A38" s="2899" t="s">
        <v>379</v>
      </c>
      <c r="B38" s="2900">
        <v>0.46000000089406967</v>
      </c>
      <c r="C38" s="2901">
        <v>0</v>
      </c>
      <c r="D38" s="2902"/>
      <c r="E38" s="2903"/>
      <c r="F38" s="2903"/>
      <c r="G38" s="2904"/>
      <c r="H38" s="2905"/>
      <c r="I38" s="785"/>
    </row>
    <row r="39" spans="1:10" s="24" customFormat="1" ht="13.5" customHeight="1" thickTop="1" x14ac:dyDescent="0.5">
      <c r="B39" s="2816"/>
      <c r="C39" s="359"/>
      <c r="D39" s="2332"/>
      <c r="E39" s="2332"/>
      <c r="F39" s="2332"/>
      <c r="G39" s="61"/>
      <c r="H39" s="62"/>
      <c r="I39" s="789"/>
    </row>
    <row r="40" spans="1:10" s="24" customFormat="1" ht="20.25" customHeight="1" x14ac:dyDescent="0.5">
      <c r="B40" s="2816"/>
      <c r="C40" s="359"/>
      <c r="D40" s="2332"/>
      <c r="E40" s="2332"/>
      <c r="F40" s="2332"/>
      <c r="G40" s="61"/>
      <c r="H40" s="62"/>
      <c r="I40" s="789"/>
    </row>
    <row r="41" spans="1:10" s="24" customFormat="1" ht="19.5" customHeight="1" x14ac:dyDescent="0.25">
      <c r="B41" s="2817"/>
      <c r="C41" s="36" t="s">
        <v>69</v>
      </c>
      <c r="D41" s="2333" t="s">
        <v>839</v>
      </c>
      <c r="E41" s="2333" t="s">
        <v>16</v>
      </c>
      <c r="F41" s="2888"/>
      <c r="G41" s="1133"/>
      <c r="H41" s="1133"/>
      <c r="I41" s="789"/>
    </row>
    <row r="42" spans="1:10" s="24" customFormat="1" ht="19.5" customHeight="1" x14ac:dyDescent="0.25">
      <c r="A42" s="3128" t="s">
        <v>262</v>
      </c>
      <c r="B42" s="3129"/>
      <c r="C42" s="71">
        <v>16682300</v>
      </c>
      <c r="D42" s="2334">
        <v>5697720</v>
      </c>
      <c r="E42" s="2334">
        <v>10984580</v>
      </c>
      <c r="F42" s="2889"/>
      <c r="G42" s="62"/>
      <c r="H42" s="62"/>
      <c r="I42" s="789"/>
    </row>
    <row r="43" spans="1:10" s="24" customFormat="1" ht="19.5" customHeight="1" x14ac:dyDescent="0.25">
      <c r="A43" s="3128" t="s">
        <v>263</v>
      </c>
      <c r="B43" s="3129"/>
      <c r="C43" s="34">
        <v>19152700</v>
      </c>
      <c r="D43" s="2328">
        <v>17695485</v>
      </c>
      <c r="E43" s="2328">
        <v>1457215</v>
      </c>
      <c r="F43" s="2889"/>
      <c r="G43" s="62"/>
      <c r="H43" s="62"/>
      <c r="I43" s="789"/>
    </row>
    <row r="44" spans="1:10" s="24" customFormat="1" ht="19.5" customHeight="1" x14ac:dyDescent="0.25">
      <c r="A44" s="3133" t="s">
        <v>832</v>
      </c>
      <c r="B44" s="3134"/>
      <c r="C44" s="38">
        <v>3435400</v>
      </c>
      <c r="D44" s="2335">
        <v>3262700</v>
      </c>
      <c r="E44" s="2328">
        <v>172700</v>
      </c>
      <c r="F44" s="2890"/>
      <c r="G44" s="2891"/>
      <c r="H44" s="62"/>
      <c r="I44" s="789"/>
    </row>
    <row r="45" spans="1:10" s="24" customFormat="1" ht="19.5" customHeight="1" x14ac:dyDescent="0.25">
      <c r="A45" s="3133" t="s">
        <v>834</v>
      </c>
      <c r="B45" s="3134"/>
      <c r="C45" s="38">
        <v>1000000</v>
      </c>
      <c r="D45" s="2335">
        <v>1000000</v>
      </c>
      <c r="E45" s="2328">
        <v>0</v>
      </c>
      <c r="F45" s="2890"/>
      <c r="G45" s="2891"/>
      <c r="H45" s="62"/>
      <c r="I45" s="789"/>
    </row>
    <row r="46" spans="1:10" s="24" customFormat="1" ht="19.5" customHeight="1" x14ac:dyDescent="0.25">
      <c r="A46" s="3133" t="s">
        <v>280</v>
      </c>
      <c r="B46" s="3134"/>
      <c r="C46" s="38">
        <v>2000000</v>
      </c>
      <c r="D46" s="2335">
        <v>1983600</v>
      </c>
      <c r="E46" s="2328">
        <v>16400</v>
      </c>
      <c r="F46" s="2890"/>
      <c r="G46" s="2891"/>
      <c r="H46" s="62"/>
      <c r="I46" s="789"/>
    </row>
    <row r="47" spans="1:10" s="24" customFormat="1" ht="19.5" customHeight="1" x14ac:dyDescent="0.25">
      <c r="A47" s="3133" t="s">
        <v>833</v>
      </c>
      <c r="B47" s="3134"/>
      <c r="C47" s="38">
        <v>1824300</v>
      </c>
      <c r="D47" s="2335">
        <v>1486590</v>
      </c>
      <c r="E47" s="2328">
        <v>337710</v>
      </c>
      <c r="F47" s="2890"/>
      <c r="G47" s="2891"/>
      <c r="H47" s="62"/>
      <c r="I47" s="789"/>
    </row>
    <row r="48" spans="1:10" s="24" customFormat="1" ht="19.5" customHeight="1" x14ac:dyDescent="0.25">
      <c r="A48" s="3133" t="s">
        <v>838</v>
      </c>
      <c r="B48" s="3134"/>
      <c r="C48" s="38">
        <v>1464400</v>
      </c>
      <c r="D48" s="2335">
        <v>1085425</v>
      </c>
      <c r="E48" s="2328">
        <v>378975</v>
      </c>
      <c r="F48" s="2890"/>
      <c r="G48" s="2891"/>
      <c r="H48" s="62"/>
      <c r="I48" s="789"/>
    </row>
    <row r="49" spans="1:9" s="24" customFormat="1" ht="19.5" customHeight="1" x14ac:dyDescent="0.25">
      <c r="A49" s="3133" t="s">
        <v>835</v>
      </c>
      <c r="B49" s="3134"/>
      <c r="C49" s="38">
        <v>3746100</v>
      </c>
      <c r="D49" s="2335">
        <v>3435360</v>
      </c>
      <c r="E49" s="2328">
        <v>310740</v>
      </c>
      <c r="F49" s="2890"/>
      <c r="G49" s="2891"/>
      <c r="H49" s="62"/>
      <c r="I49" s="789"/>
    </row>
    <row r="50" spans="1:9" s="24" customFormat="1" ht="19.5" customHeight="1" x14ac:dyDescent="0.25">
      <c r="A50" s="3123" t="s">
        <v>836</v>
      </c>
      <c r="B50" s="3124"/>
      <c r="C50" s="38">
        <v>2304100</v>
      </c>
      <c r="D50" s="2335">
        <v>2125490</v>
      </c>
      <c r="E50" s="2328">
        <v>178610</v>
      </c>
      <c r="F50" s="2890"/>
      <c r="G50" s="2891"/>
      <c r="H50" s="62"/>
      <c r="I50" s="789"/>
    </row>
    <row r="51" spans="1:9" s="24" customFormat="1" ht="19.5" customHeight="1" x14ac:dyDescent="0.25">
      <c r="A51" s="3123" t="s">
        <v>837</v>
      </c>
      <c r="B51" s="3124"/>
      <c r="C51" s="38">
        <v>3378400</v>
      </c>
      <c r="D51" s="2335">
        <v>3316320</v>
      </c>
      <c r="E51" s="2328">
        <v>62080</v>
      </c>
      <c r="F51" s="2890"/>
      <c r="G51" s="2891"/>
      <c r="H51" s="62"/>
      <c r="I51" s="789"/>
    </row>
    <row r="52" spans="1:9" s="24" customFormat="1" ht="19.5" customHeight="1" x14ac:dyDescent="0.25">
      <c r="A52" s="3123"/>
      <c r="B52" s="3124"/>
      <c r="C52" s="38"/>
      <c r="D52" s="2335"/>
      <c r="E52" s="2328">
        <v>0</v>
      </c>
      <c r="F52" s="2890"/>
      <c r="G52" s="2891"/>
      <c r="H52" s="62"/>
      <c r="I52" s="789"/>
    </row>
    <row r="53" spans="1:9" s="24" customFormat="1" ht="19.5" customHeight="1" x14ac:dyDescent="0.25">
      <c r="A53" s="31"/>
      <c r="B53" s="1168"/>
      <c r="C53" s="35">
        <v>35835000</v>
      </c>
      <c r="D53" s="2336">
        <v>23393205</v>
      </c>
      <c r="E53" s="2336">
        <v>12441795</v>
      </c>
      <c r="F53" s="2889"/>
      <c r="G53" s="62"/>
      <c r="H53" s="62"/>
      <c r="I53" s="789"/>
    </row>
    <row r="54" spans="1:9" s="24" customFormat="1" ht="18" customHeight="1" x14ac:dyDescent="0.3">
      <c r="A54" s="42"/>
      <c r="B54" s="2892"/>
      <c r="C54" s="700"/>
      <c r="D54" s="2332"/>
      <c r="E54" s="2332"/>
      <c r="F54" s="2332"/>
      <c r="G54" s="61"/>
      <c r="H54" s="62"/>
      <c r="I54" s="790"/>
    </row>
    <row r="55" spans="1:9" s="24" customFormat="1" x14ac:dyDescent="0.5">
      <c r="A55" s="25"/>
      <c r="B55" s="2893"/>
      <c r="C55" s="700"/>
      <c r="D55" s="2332"/>
      <c r="E55" s="2332"/>
      <c r="F55" s="2894"/>
      <c r="G55" s="61"/>
      <c r="H55" s="2895"/>
      <c r="I55" s="790"/>
    </row>
    <row r="56" spans="1:9" x14ac:dyDescent="0.3">
      <c r="A56" s="2"/>
      <c r="B56" s="474"/>
      <c r="C56" s="472"/>
      <c r="E56" s="540"/>
    </row>
    <row r="57" spans="1:9" x14ac:dyDescent="0.3">
      <c r="A57" s="2"/>
      <c r="B57" s="474"/>
      <c r="C57" s="472"/>
      <c r="E57" s="540"/>
      <c r="F57" s="31"/>
    </row>
    <row r="58" spans="1:9" x14ac:dyDescent="0.3">
      <c r="A58" s="2"/>
      <c r="B58" s="474"/>
      <c r="C58" s="472"/>
      <c r="E58" s="540"/>
      <c r="F58" s="31"/>
    </row>
    <row r="59" spans="1:9" x14ac:dyDescent="0.3">
      <c r="A59" s="2"/>
      <c r="B59" s="474"/>
      <c r="C59" s="472"/>
      <c r="D59" s="78"/>
      <c r="E59" s="540"/>
      <c r="F59" s="31"/>
    </row>
    <row r="60" spans="1:9" x14ac:dyDescent="0.3">
      <c r="A60" s="2"/>
      <c r="B60" s="474"/>
      <c r="C60" s="472"/>
      <c r="D60" s="31"/>
      <c r="E60" s="2896"/>
      <c r="F60" s="31"/>
    </row>
    <row r="61" spans="1:9" x14ac:dyDescent="0.3">
      <c r="A61" s="29"/>
      <c r="B61" s="2843"/>
      <c r="C61" s="826"/>
    </row>
    <row r="62" spans="1:9" x14ac:dyDescent="0.3">
      <c r="A62" s="29"/>
      <c r="B62" s="2843"/>
    </row>
    <row r="63" spans="1:9" x14ac:dyDescent="0.3">
      <c r="A63" s="29"/>
      <c r="B63" s="2843"/>
      <c r="D63" s="2897"/>
      <c r="E63" s="2898"/>
    </row>
    <row r="64" spans="1:9" x14ac:dyDescent="0.3">
      <c r="A64" s="29"/>
      <c r="B64" s="2843"/>
    </row>
    <row r="65" spans="1:9" x14ac:dyDescent="0.3">
      <c r="A65" s="29"/>
      <c r="B65" s="2843"/>
    </row>
    <row r="66" spans="1:9" x14ac:dyDescent="0.3">
      <c r="A66" s="29"/>
      <c r="B66" s="2843"/>
    </row>
    <row r="67" spans="1:9" x14ac:dyDescent="0.3">
      <c r="A67" s="29"/>
      <c r="B67" s="2843"/>
    </row>
    <row r="68" spans="1:9" x14ac:dyDescent="0.3">
      <c r="A68" s="29"/>
      <c r="B68" s="2843"/>
      <c r="C68" s="1115"/>
      <c r="D68" s="31"/>
      <c r="E68" s="31"/>
      <c r="F68" s="31"/>
      <c r="G68" s="31"/>
      <c r="H68" s="31"/>
      <c r="I68" s="3"/>
    </row>
    <row r="69" spans="1:9" x14ac:dyDescent="0.3">
      <c r="A69" s="29"/>
      <c r="B69" s="2843"/>
      <c r="D69" s="31"/>
      <c r="E69" s="31"/>
      <c r="F69" s="31"/>
      <c r="G69" s="31"/>
      <c r="H69" s="31"/>
      <c r="I69" s="3"/>
    </row>
    <row r="70" spans="1:9" x14ac:dyDescent="0.3">
      <c r="A70" s="29"/>
      <c r="B70" s="2843"/>
      <c r="D70" s="31"/>
      <c r="E70" s="31"/>
      <c r="F70" s="31"/>
      <c r="G70" s="31"/>
      <c r="H70" s="31"/>
      <c r="I70" s="3"/>
    </row>
    <row r="71" spans="1:9" x14ac:dyDescent="0.3">
      <c r="A71" s="29"/>
      <c r="B71" s="2843"/>
      <c r="D71" s="31"/>
      <c r="E71" s="31"/>
      <c r="F71" s="31"/>
      <c r="G71" s="31"/>
      <c r="H71" s="31"/>
      <c r="I71" s="3"/>
    </row>
    <row r="73" spans="1:9" x14ac:dyDescent="0.3">
      <c r="C73" s="826"/>
      <c r="D73" s="31"/>
      <c r="E73" s="31"/>
      <c r="F73" s="31"/>
      <c r="G73" s="31"/>
      <c r="H73" s="31"/>
      <c r="I73" s="3"/>
    </row>
    <row r="77" spans="1:9" x14ac:dyDescent="0.3">
      <c r="C77" s="826"/>
      <c r="D77" s="31"/>
      <c r="E77" s="31"/>
      <c r="F77" s="31"/>
      <c r="G77" s="31"/>
      <c r="H77" s="31"/>
      <c r="I77" s="3"/>
    </row>
  </sheetData>
  <mergeCells count="14">
    <mergeCell ref="A48:B48"/>
    <mergeCell ref="A52:B52"/>
    <mergeCell ref="A1:H1"/>
    <mergeCell ref="D2:H2"/>
    <mergeCell ref="D3:H3"/>
    <mergeCell ref="A42:B42"/>
    <mergeCell ref="A43:B43"/>
    <mergeCell ref="A51:B51"/>
    <mergeCell ref="A50:B50"/>
    <mergeCell ref="A49:B49"/>
    <mergeCell ref="A44:B44"/>
    <mergeCell ref="A45:B45"/>
    <mergeCell ref="A46:B46"/>
    <mergeCell ref="A47:B47"/>
  </mergeCells>
  <pageMargins left="0.35433070866141736" right="7.874015748031496E-2" top="0.35433070866141736" bottom="0.15748031496062992" header="0.31496062992125984" footer="0.31496062992125984"/>
  <pageSetup paperSize="9" scale="98" orientation="portrait" r:id="rId1"/>
  <rowBreaks count="1" manualBreakCount="1">
    <brk id="38" max="16383" man="1"/>
  </rowBreaks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</sheetPr>
  <dimension ref="A1:U76"/>
  <sheetViews>
    <sheetView zoomScale="90" zoomScaleNormal="90" workbookViewId="0">
      <pane ySplit="5" topLeftCell="A13" activePane="bottomLeft" state="frozen"/>
      <selection pane="bottomLeft" activeCell="H2" sqref="H2"/>
    </sheetView>
  </sheetViews>
  <sheetFormatPr defaultColWidth="9.140625" defaultRowHeight="17.25" x14ac:dyDescent="0.3"/>
  <cols>
    <col min="1" max="1" width="37.42578125" style="3" customWidth="1"/>
    <col min="2" max="2" width="14" style="2799" customWidth="1"/>
    <col min="3" max="3" width="13.42578125" style="41" customWidth="1"/>
    <col min="4" max="4" width="14.140625" style="479" customWidth="1"/>
    <col min="5" max="5" width="14.42578125" style="479" customWidth="1"/>
    <col min="6" max="6" width="13.7109375" style="41" customWidth="1"/>
    <col min="7" max="7" width="14" style="41" customWidth="1"/>
    <col min="8" max="8" width="9.7109375" style="3" customWidth="1"/>
    <col min="9" max="9" width="16.28515625" style="3" customWidth="1"/>
    <col min="10" max="10" width="13" style="41" customWidth="1"/>
    <col min="11" max="11" width="18.140625" style="3" customWidth="1"/>
    <col min="12" max="12" width="15" style="3" customWidth="1"/>
    <col min="13" max="13" width="12.42578125" style="3" bestFit="1" customWidth="1"/>
    <col min="14" max="14" width="12" style="3" bestFit="1" customWidth="1"/>
    <col min="15" max="15" width="12" style="3" customWidth="1"/>
    <col min="16" max="16" width="9.140625" style="3"/>
    <col min="17" max="17" width="13.28515625" style="3" customWidth="1"/>
    <col min="18" max="16384" width="9.140625" style="3"/>
  </cols>
  <sheetData>
    <row r="1" spans="1:21" s="17" customFormat="1" ht="21" customHeight="1" thickBot="1" x14ac:dyDescent="0.35">
      <c r="A1" s="3136" t="s">
        <v>949</v>
      </c>
      <c r="B1" s="3136"/>
      <c r="C1" s="3136"/>
      <c r="D1" s="3136"/>
      <c r="E1" s="3136"/>
      <c r="F1" s="3136"/>
      <c r="G1" s="830" t="s">
        <v>950</v>
      </c>
      <c r="H1" s="829">
        <v>45653</v>
      </c>
      <c r="I1" s="2341"/>
      <c r="J1" s="66"/>
    </row>
    <row r="2" spans="1:21" s="17" customFormat="1" ht="21" customHeight="1" x14ac:dyDescent="0.3">
      <c r="A2" s="685"/>
      <c r="B2" s="2818" t="s">
        <v>95</v>
      </c>
      <c r="C2" s="2971" t="s">
        <v>27</v>
      </c>
      <c r="D2" s="3482" t="s">
        <v>38</v>
      </c>
      <c r="E2" s="3483"/>
      <c r="F2" s="3483"/>
      <c r="G2" s="558"/>
      <c r="H2" s="503"/>
      <c r="J2" s="66"/>
    </row>
    <row r="3" spans="1:21" s="17" customFormat="1" ht="21" customHeight="1" x14ac:dyDescent="0.3">
      <c r="A3" s="686" t="s">
        <v>0</v>
      </c>
      <c r="B3" s="2819" t="s">
        <v>37</v>
      </c>
      <c r="C3" s="3484" t="s">
        <v>948</v>
      </c>
      <c r="D3" s="750" t="s">
        <v>33</v>
      </c>
      <c r="E3" s="759" t="s">
        <v>40</v>
      </c>
      <c r="F3" s="559" t="s">
        <v>28</v>
      </c>
      <c r="G3" s="560" t="s">
        <v>19</v>
      </c>
      <c r="H3" s="504" t="s">
        <v>18</v>
      </c>
      <c r="I3" s="782"/>
      <c r="J3" s="66"/>
    </row>
    <row r="4" spans="1:21" s="17" customFormat="1" ht="21" customHeight="1" x14ac:dyDescent="0.3">
      <c r="A4" s="687"/>
      <c r="B4" s="2820" t="s">
        <v>815</v>
      </c>
      <c r="C4" s="3485"/>
      <c r="D4" s="751" t="s">
        <v>34</v>
      </c>
      <c r="E4" s="760" t="s">
        <v>41</v>
      </c>
      <c r="F4" s="561"/>
      <c r="G4" s="562"/>
      <c r="H4" s="505"/>
      <c r="J4" s="66"/>
      <c r="M4" s="16"/>
    </row>
    <row r="5" spans="1:21" s="17" customFormat="1" ht="21" customHeight="1" x14ac:dyDescent="0.3">
      <c r="A5" s="567"/>
      <c r="B5" s="2820"/>
      <c r="C5" s="562" t="s">
        <v>35</v>
      </c>
      <c r="D5" s="752" t="s">
        <v>36</v>
      </c>
      <c r="E5" s="760" t="s">
        <v>43</v>
      </c>
      <c r="F5" s="563" t="s">
        <v>45</v>
      </c>
      <c r="G5" s="562" t="s">
        <v>44</v>
      </c>
      <c r="H5" s="505"/>
      <c r="J5" s="66"/>
    </row>
    <row r="6" spans="1:21" s="17" customFormat="1" ht="21" customHeight="1" x14ac:dyDescent="0.3">
      <c r="A6" s="564" t="s">
        <v>823</v>
      </c>
      <c r="B6" s="2821">
        <v>14431340</v>
      </c>
      <c r="C6" s="2972">
        <v>14805373</v>
      </c>
      <c r="D6" s="753">
        <v>1354640.55</v>
      </c>
      <c r="E6" s="761">
        <v>1599096</v>
      </c>
      <c r="F6" s="565">
        <v>2953736.55</v>
      </c>
      <c r="G6" s="566">
        <v>11851636.449999999</v>
      </c>
      <c r="H6" s="506"/>
      <c r="I6" s="2342"/>
      <c r="J6" s="66"/>
      <c r="K6" s="74"/>
    </row>
    <row r="7" spans="1:21" s="17" customFormat="1" ht="21" customHeight="1" x14ac:dyDescent="0.45">
      <c r="A7" s="567" t="s">
        <v>824</v>
      </c>
      <c r="B7" s="2822">
        <v>9222532</v>
      </c>
      <c r="C7" s="2973"/>
      <c r="D7" s="750"/>
      <c r="E7" s="762"/>
      <c r="F7" s="20"/>
      <c r="G7" s="560"/>
      <c r="H7" s="499"/>
      <c r="I7" s="569" t="s">
        <v>840</v>
      </c>
      <c r="J7" s="66"/>
    </row>
    <row r="8" spans="1:21" ht="21" customHeight="1" x14ac:dyDescent="0.3">
      <c r="A8" s="2320" t="s">
        <v>76</v>
      </c>
      <c r="B8" s="2368">
        <v>7931200</v>
      </c>
      <c r="C8" s="511">
        <v>8861800</v>
      </c>
      <c r="D8" s="754">
        <v>0</v>
      </c>
      <c r="E8" s="763">
        <v>974000</v>
      </c>
      <c r="F8" s="568">
        <v>974000</v>
      </c>
      <c r="G8" s="511">
        <v>7887800</v>
      </c>
      <c r="H8" s="996"/>
      <c r="I8" s="2343">
        <v>8861800</v>
      </c>
      <c r="J8" s="479"/>
      <c r="L8" s="19"/>
    </row>
    <row r="9" spans="1:21" ht="21" customHeight="1" x14ac:dyDescent="0.3">
      <c r="A9" s="18" t="s">
        <v>77</v>
      </c>
      <c r="B9" s="2368">
        <v>13332</v>
      </c>
      <c r="C9" s="511">
        <v>15000</v>
      </c>
      <c r="D9" s="754">
        <v>13337.55</v>
      </c>
      <c r="E9" s="763">
        <v>0</v>
      </c>
      <c r="F9" s="568">
        <v>13337.55</v>
      </c>
      <c r="G9" s="511">
        <v>1662.4500000000007</v>
      </c>
      <c r="H9" s="663"/>
      <c r="I9" s="2343">
        <v>15000</v>
      </c>
      <c r="J9" s="662" t="s">
        <v>291</v>
      </c>
      <c r="K9" s="37"/>
      <c r="M9" s="662"/>
    </row>
    <row r="10" spans="1:21" ht="21" customHeight="1" x14ac:dyDescent="0.3">
      <c r="A10" s="18" t="s">
        <v>78</v>
      </c>
      <c r="B10" s="2368">
        <v>1008000</v>
      </c>
      <c r="C10" s="511">
        <v>1008000</v>
      </c>
      <c r="D10" s="754">
        <v>0</v>
      </c>
      <c r="E10" s="763">
        <v>0</v>
      </c>
      <c r="F10" s="568">
        <v>0</v>
      </c>
      <c r="G10" s="511">
        <v>1008000</v>
      </c>
      <c r="H10" s="663"/>
      <c r="I10" s="2343">
        <v>1008000</v>
      </c>
      <c r="J10" s="997" t="s">
        <v>395</v>
      </c>
      <c r="K10" s="1609">
        <v>18</v>
      </c>
      <c r="L10" s="1610">
        <v>198000</v>
      </c>
      <c r="M10" s="594" t="s">
        <v>601</v>
      </c>
      <c r="N10" s="2"/>
      <c r="P10" s="2"/>
    </row>
    <row r="11" spans="1:21" ht="21" customHeight="1" x14ac:dyDescent="0.3">
      <c r="A11" s="18" t="s">
        <v>79</v>
      </c>
      <c r="B11" s="2368">
        <v>180000</v>
      </c>
      <c r="C11" s="511">
        <v>180000</v>
      </c>
      <c r="D11" s="754">
        <v>0</v>
      </c>
      <c r="E11" s="763">
        <v>0</v>
      </c>
      <c r="F11" s="568">
        <v>0</v>
      </c>
      <c r="G11" s="511">
        <v>180000</v>
      </c>
      <c r="H11" s="663"/>
      <c r="I11" s="2343">
        <v>180000</v>
      </c>
      <c r="J11" s="999" t="s">
        <v>396</v>
      </c>
      <c r="K11" s="1611">
        <v>4</v>
      </c>
      <c r="L11" s="1610">
        <v>36000</v>
      </c>
      <c r="M11" s="1610" t="s">
        <v>401</v>
      </c>
      <c r="N11" s="2"/>
      <c r="P11" s="2"/>
    </row>
    <row r="12" spans="1:21" ht="21" customHeight="1" x14ac:dyDescent="0.3">
      <c r="A12" s="18" t="s">
        <v>80</v>
      </c>
      <c r="B12" s="2368">
        <v>90000</v>
      </c>
      <c r="C12" s="511">
        <v>90000</v>
      </c>
      <c r="D12" s="754">
        <v>68409</v>
      </c>
      <c r="E12" s="763">
        <v>22341</v>
      </c>
      <c r="F12" s="568">
        <v>90750</v>
      </c>
      <c r="G12" s="511">
        <v>-750</v>
      </c>
      <c r="H12" s="507"/>
      <c r="I12" s="2343">
        <v>90000</v>
      </c>
      <c r="J12" s="999" t="s">
        <v>292</v>
      </c>
      <c r="K12" s="1611">
        <v>5</v>
      </c>
      <c r="L12" s="1164">
        <v>45000</v>
      </c>
      <c r="M12" s="594" t="s">
        <v>401</v>
      </c>
      <c r="N12" s="548"/>
      <c r="P12" s="548"/>
    </row>
    <row r="13" spans="1:21" ht="21" customHeight="1" x14ac:dyDescent="0.3">
      <c r="A13" s="18"/>
      <c r="B13" s="2368"/>
      <c r="C13" s="511"/>
      <c r="D13" s="754"/>
      <c r="E13" s="763"/>
      <c r="F13" s="568">
        <v>0</v>
      </c>
      <c r="G13" s="511">
        <v>0</v>
      </c>
      <c r="H13" s="507"/>
      <c r="I13" s="2343">
        <v>0</v>
      </c>
      <c r="J13" s="997" t="s">
        <v>293</v>
      </c>
      <c r="K13" s="1609">
        <v>4</v>
      </c>
      <c r="L13" s="1610">
        <v>36000</v>
      </c>
      <c r="M13" s="594" t="s">
        <v>401</v>
      </c>
      <c r="N13" s="16"/>
      <c r="P13" s="16"/>
      <c r="Q13" s="17"/>
    </row>
    <row r="14" spans="1:21" s="17" customFormat="1" ht="21" customHeight="1" x14ac:dyDescent="0.3">
      <c r="A14" s="567" t="s">
        <v>825</v>
      </c>
      <c r="B14" s="2823">
        <v>5208808</v>
      </c>
      <c r="C14" s="2974"/>
      <c r="D14" s="750"/>
      <c r="E14" s="759"/>
      <c r="F14" s="20"/>
      <c r="G14" s="477"/>
      <c r="H14" s="508"/>
      <c r="I14" s="2343">
        <v>0</v>
      </c>
      <c r="J14" s="1612" t="s">
        <v>398</v>
      </c>
      <c r="K14" s="1609"/>
      <c r="L14" s="1610">
        <v>315000</v>
      </c>
      <c r="M14" s="868"/>
    </row>
    <row r="15" spans="1:21" s="594" customFormat="1" ht="21" customHeight="1" x14ac:dyDescent="0.3">
      <c r="A15" s="18" t="s">
        <v>42</v>
      </c>
      <c r="B15" s="2385">
        <v>3367628</v>
      </c>
      <c r="C15" s="2975">
        <v>2370000</v>
      </c>
      <c r="D15" s="755">
        <v>796000</v>
      </c>
      <c r="E15" s="763">
        <v>398000</v>
      </c>
      <c r="F15" s="568">
        <v>1194000</v>
      </c>
      <c r="G15" s="511">
        <v>1176000</v>
      </c>
      <c r="H15" s="1163"/>
      <c r="I15" s="2343">
        <v>2370000</v>
      </c>
      <c r="J15" s="522" t="s">
        <v>397</v>
      </c>
      <c r="K15" s="1164"/>
      <c r="L15" s="1165">
        <v>3780000</v>
      </c>
      <c r="M15" s="1166"/>
      <c r="N15" s="1167"/>
      <c r="P15" s="1168"/>
      <c r="U15" s="1168"/>
    </row>
    <row r="16" spans="1:21" ht="21" customHeight="1" x14ac:dyDescent="0.3">
      <c r="A16" s="2321" t="s">
        <v>59</v>
      </c>
      <c r="B16" s="2385">
        <v>774360</v>
      </c>
      <c r="C16" s="2989">
        <v>804240</v>
      </c>
      <c r="D16" s="755">
        <v>267714</v>
      </c>
      <c r="E16" s="764">
        <v>111360</v>
      </c>
      <c r="F16" s="568">
        <v>379074</v>
      </c>
      <c r="G16" s="511">
        <v>425166</v>
      </c>
      <c r="H16" s="509"/>
      <c r="I16" s="2343">
        <v>804240</v>
      </c>
      <c r="J16" s="1613" t="s">
        <v>399</v>
      </c>
      <c r="K16" s="1614"/>
      <c r="L16" s="1165">
        <v>99000</v>
      </c>
      <c r="M16" s="1615"/>
      <c r="N16" s="555"/>
      <c r="O16" s="569"/>
      <c r="P16" s="555"/>
      <c r="U16" s="31"/>
    </row>
    <row r="17" spans="1:21" ht="21" customHeight="1" x14ac:dyDescent="0.3">
      <c r="A17" s="18" t="s">
        <v>60</v>
      </c>
      <c r="B17" s="2385">
        <v>479880</v>
      </c>
      <c r="C17" s="2975">
        <v>498000</v>
      </c>
      <c r="D17" s="755">
        <v>166000</v>
      </c>
      <c r="E17" s="764">
        <v>83000</v>
      </c>
      <c r="F17" s="568">
        <v>249000</v>
      </c>
      <c r="G17" s="511">
        <v>249000</v>
      </c>
      <c r="H17" s="509"/>
      <c r="I17" s="2343">
        <v>498000</v>
      </c>
      <c r="J17" s="1616" t="s">
        <v>400</v>
      </c>
      <c r="K17" s="867"/>
      <c r="L17" s="1617">
        <v>3681000</v>
      </c>
      <c r="M17" s="1168"/>
      <c r="N17" s="31"/>
      <c r="P17" s="31"/>
      <c r="U17" s="31"/>
    </row>
    <row r="18" spans="1:21" ht="21" hidden="1" customHeight="1" x14ac:dyDescent="0.3">
      <c r="A18" s="570" t="s">
        <v>125</v>
      </c>
      <c r="B18" s="1608"/>
      <c r="C18" s="477"/>
      <c r="D18" s="754"/>
      <c r="E18" s="764"/>
      <c r="F18" s="68">
        <v>0</v>
      </c>
      <c r="G18" s="571">
        <v>0</v>
      </c>
      <c r="H18" s="509"/>
      <c r="I18" s="2343">
        <v>0</v>
      </c>
      <c r="K18" s="72"/>
    </row>
    <row r="19" spans="1:21" ht="21" hidden="1" customHeight="1" x14ac:dyDescent="0.3">
      <c r="A19" s="18" t="s">
        <v>245</v>
      </c>
      <c r="B19" s="1608"/>
      <c r="C19" s="477"/>
      <c r="D19" s="754"/>
      <c r="E19" s="764"/>
      <c r="F19" s="68">
        <v>0</v>
      </c>
      <c r="G19" s="571">
        <v>0</v>
      </c>
      <c r="H19" s="498"/>
      <c r="I19" s="2343">
        <v>0</v>
      </c>
    </row>
    <row r="20" spans="1:21" ht="21" hidden="1" customHeight="1" x14ac:dyDescent="0.3">
      <c r="A20" s="18" t="s">
        <v>246</v>
      </c>
      <c r="B20" s="1608"/>
      <c r="C20" s="477"/>
      <c r="D20" s="754"/>
      <c r="E20" s="763"/>
      <c r="F20" s="68">
        <v>0</v>
      </c>
      <c r="G20" s="477">
        <v>0</v>
      </c>
      <c r="H20" s="498"/>
      <c r="I20" s="2343">
        <v>0</v>
      </c>
    </row>
    <row r="21" spans="1:21" ht="21" customHeight="1" x14ac:dyDescent="0.3">
      <c r="A21" s="18" t="s">
        <v>327</v>
      </c>
      <c r="B21" s="1608">
        <v>1940</v>
      </c>
      <c r="C21" s="2976">
        <v>500</v>
      </c>
      <c r="D21" s="756">
        <v>0</v>
      </c>
      <c r="E21" s="763">
        <v>475</v>
      </c>
      <c r="F21" s="68">
        <v>475</v>
      </c>
      <c r="G21" s="477">
        <v>25</v>
      </c>
      <c r="H21" s="498"/>
      <c r="I21" s="2343">
        <v>500</v>
      </c>
      <c r="M21" s="41"/>
    </row>
    <row r="22" spans="1:21" ht="21" customHeight="1" x14ac:dyDescent="0.3">
      <c r="A22" s="18" t="s">
        <v>328</v>
      </c>
      <c r="B22" s="2807">
        <v>50000</v>
      </c>
      <c r="C22" s="2977">
        <v>53100</v>
      </c>
      <c r="D22" s="754">
        <v>43180</v>
      </c>
      <c r="E22" s="764">
        <v>9920</v>
      </c>
      <c r="F22" s="568">
        <v>53100</v>
      </c>
      <c r="G22" s="511">
        <v>0</v>
      </c>
      <c r="H22" s="498"/>
      <c r="I22" s="2343">
        <v>53100</v>
      </c>
      <c r="J22" s="78" t="s">
        <v>841</v>
      </c>
    </row>
    <row r="23" spans="1:21" ht="21" customHeight="1" x14ac:dyDescent="0.3">
      <c r="A23" s="18" t="s">
        <v>410</v>
      </c>
      <c r="B23" s="2385">
        <v>535000</v>
      </c>
      <c r="C23" s="477">
        <v>500000</v>
      </c>
      <c r="D23" s="754">
        <v>0</v>
      </c>
      <c r="E23" s="764">
        <v>0</v>
      </c>
      <c r="F23" s="68">
        <v>0</v>
      </c>
      <c r="G23" s="511">
        <v>500000</v>
      </c>
      <c r="H23" s="498"/>
      <c r="I23" s="2343">
        <v>500000</v>
      </c>
      <c r="L23" s="72"/>
    </row>
    <row r="24" spans="1:21" ht="21" customHeight="1" x14ac:dyDescent="0.3">
      <c r="A24" s="18" t="s">
        <v>1013</v>
      </c>
      <c r="B24" s="2385"/>
      <c r="C24" s="477">
        <v>424733</v>
      </c>
      <c r="D24" s="754">
        <v>0</v>
      </c>
      <c r="E24" s="764">
        <v>0</v>
      </c>
      <c r="F24" s="68">
        <v>0</v>
      </c>
      <c r="G24" s="511">
        <v>424733</v>
      </c>
      <c r="H24" s="498"/>
      <c r="I24" s="2343">
        <v>424733</v>
      </c>
      <c r="L24" s="72"/>
    </row>
    <row r="25" spans="1:21" ht="21" customHeight="1" x14ac:dyDescent="0.3">
      <c r="A25" s="18"/>
      <c r="B25" s="2385"/>
      <c r="C25" s="477"/>
      <c r="D25" s="754"/>
      <c r="E25" s="764"/>
      <c r="F25" s="68"/>
      <c r="G25" s="511"/>
      <c r="H25" s="498"/>
      <c r="I25" s="2343"/>
    </row>
    <row r="26" spans="1:21" ht="21" customHeight="1" x14ac:dyDescent="0.3">
      <c r="A26" s="18"/>
      <c r="B26" s="1608"/>
      <c r="C26" s="477"/>
      <c r="D26" s="754"/>
      <c r="E26" s="764"/>
      <c r="F26" s="68"/>
      <c r="G26" s="511"/>
      <c r="H26" s="498"/>
      <c r="I26" s="2343"/>
    </row>
    <row r="27" spans="1:21" ht="21" customHeight="1" x14ac:dyDescent="0.3">
      <c r="A27" s="18"/>
      <c r="B27" s="1608"/>
      <c r="C27" s="477"/>
      <c r="D27" s="754"/>
      <c r="E27" s="764"/>
      <c r="F27" s="68"/>
      <c r="G27" s="511"/>
      <c r="H27" s="498"/>
      <c r="I27" s="2343">
        <v>0</v>
      </c>
    </row>
    <row r="28" spans="1:21" ht="21" customHeight="1" x14ac:dyDescent="0.3">
      <c r="A28" s="567" t="s">
        <v>826</v>
      </c>
      <c r="B28" s="2823">
        <v>4930479.5999999996</v>
      </c>
      <c r="C28" s="572">
        <v>0</v>
      </c>
      <c r="D28" s="757">
        <v>0</v>
      </c>
      <c r="E28" s="765">
        <v>0</v>
      </c>
      <c r="F28" s="2963">
        <v>0</v>
      </c>
      <c r="G28" s="572">
        <v>0</v>
      </c>
      <c r="H28" s="498"/>
      <c r="I28" s="2343">
        <v>0</v>
      </c>
      <c r="K28" s="72"/>
      <c r="N28" s="2"/>
    </row>
    <row r="29" spans="1:21" ht="21" customHeight="1" x14ac:dyDescent="0.3">
      <c r="A29" s="18" t="s">
        <v>30</v>
      </c>
      <c r="B29" s="1608">
        <v>888359.54</v>
      </c>
      <c r="C29" s="477"/>
      <c r="D29" s="754">
        <v>0</v>
      </c>
      <c r="E29" s="763"/>
      <c r="F29" s="68">
        <v>0</v>
      </c>
      <c r="G29" s="477">
        <v>0</v>
      </c>
      <c r="H29" s="498"/>
      <c r="I29" s="2343">
        <v>0</v>
      </c>
      <c r="K29" s="72"/>
      <c r="N29" s="2"/>
    </row>
    <row r="30" spans="1:21" ht="21" customHeight="1" x14ac:dyDescent="0.3">
      <c r="A30" s="18" t="s">
        <v>46</v>
      </c>
      <c r="B30" s="2368">
        <v>51738</v>
      </c>
      <c r="C30" s="511"/>
      <c r="D30" s="754">
        <v>0</v>
      </c>
      <c r="E30" s="763"/>
      <c r="F30" s="68">
        <v>0</v>
      </c>
      <c r="G30" s="573">
        <v>0</v>
      </c>
      <c r="H30" s="498"/>
      <c r="I30" s="2343">
        <v>0</v>
      </c>
      <c r="N30" s="2"/>
    </row>
    <row r="31" spans="1:21" ht="21" customHeight="1" x14ac:dyDescent="0.3">
      <c r="A31" s="18" t="s">
        <v>31</v>
      </c>
      <c r="B31" s="1608">
        <v>32535</v>
      </c>
      <c r="C31" s="477">
        <v>0</v>
      </c>
      <c r="D31" s="754">
        <v>0</v>
      </c>
      <c r="E31" s="763"/>
      <c r="F31" s="68">
        <v>0</v>
      </c>
      <c r="G31" s="477">
        <v>0</v>
      </c>
      <c r="H31" s="498"/>
      <c r="I31" s="2343">
        <v>0</v>
      </c>
      <c r="N31" s="28"/>
    </row>
    <row r="32" spans="1:21" ht="21" customHeight="1" x14ac:dyDescent="0.3">
      <c r="A32" s="18" t="s">
        <v>32</v>
      </c>
      <c r="B32" s="1608">
        <v>30694</v>
      </c>
      <c r="C32" s="477">
        <v>0</v>
      </c>
      <c r="D32" s="754">
        <v>0</v>
      </c>
      <c r="E32" s="763"/>
      <c r="F32" s="68">
        <v>0</v>
      </c>
      <c r="G32" s="574">
        <v>0</v>
      </c>
      <c r="H32" s="498"/>
      <c r="I32" s="2343">
        <v>0</v>
      </c>
    </row>
    <row r="33" spans="1:15" ht="21" customHeight="1" x14ac:dyDescent="0.3">
      <c r="A33" s="18" t="s">
        <v>599</v>
      </c>
      <c r="B33" s="2368">
        <v>3831456</v>
      </c>
      <c r="C33" s="511">
        <v>0</v>
      </c>
      <c r="D33" s="754"/>
      <c r="E33" s="764"/>
      <c r="F33" s="568">
        <v>0</v>
      </c>
      <c r="G33" s="511">
        <v>0</v>
      </c>
      <c r="H33" s="498"/>
      <c r="I33" s="2343">
        <v>0</v>
      </c>
      <c r="J33" s="479"/>
      <c r="O33" s="19" t="e">
        <v>#REF!</v>
      </c>
    </row>
    <row r="34" spans="1:15" ht="21" hidden="1" customHeight="1" x14ac:dyDescent="0.3">
      <c r="A34" s="570" t="s">
        <v>257</v>
      </c>
      <c r="B34" s="1608"/>
      <c r="C34" s="477"/>
      <c r="D34" s="754"/>
      <c r="E34" s="764"/>
      <c r="F34" s="68">
        <v>0</v>
      </c>
      <c r="G34" s="477">
        <v>0</v>
      </c>
      <c r="H34" s="498"/>
      <c r="I34" s="2343">
        <v>0</v>
      </c>
      <c r="L34" s="73"/>
    </row>
    <row r="35" spans="1:15" ht="21" customHeight="1" x14ac:dyDescent="0.3">
      <c r="A35" s="18" t="s">
        <v>329</v>
      </c>
      <c r="B35" s="1608">
        <v>16611.3</v>
      </c>
      <c r="C35" s="477">
        <v>0</v>
      </c>
      <c r="D35" s="754">
        <v>0</v>
      </c>
      <c r="E35" s="764"/>
      <c r="F35" s="68">
        <v>0</v>
      </c>
      <c r="G35" s="477">
        <v>0</v>
      </c>
      <c r="H35" s="498"/>
      <c r="I35" s="2343">
        <v>0</v>
      </c>
    </row>
    <row r="36" spans="1:15" ht="21" customHeight="1" x14ac:dyDescent="0.3">
      <c r="A36" s="18" t="s">
        <v>330</v>
      </c>
      <c r="B36" s="1608">
        <v>79085.759999999995</v>
      </c>
      <c r="C36" s="477">
        <v>0</v>
      </c>
      <c r="D36" s="754">
        <v>0</v>
      </c>
      <c r="E36" s="764">
        <v>0</v>
      </c>
      <c r="F36" s="68">
        <v>0</v>
      </c>
      <c r="G36" s="477">
        <v>0</v>
      </c>
      <c r="H36" s="498"/>
      <c r="I36" s="2343">
        <v>0</v>
      </c>
      <c r="J36" s="41">
        <v>0</v>
      </c>
    </row>
    <row r="37" spans="1:15" ht="21" customHeight="1" x14ac:dyDescent="0.3">
      <c r="A37" s="18"/>
      <c r="B37" s="1608"/>
      <c r="C37" s="477"/>
      <c r="D37" s="754"/>
      <c r="E37" s="764"/>
      <c r="F37" s="68"/>
      <c r="G37" s="477"/>
      <c r="H37" s="498"/>
      <c r="I37" s="2343">
        <v>0</v>
      </c>
      <c r="K37" s="19">
        <v>14805373</v>
      </c>
    </row>
    <row r="38" spans="1:15" s="17" customFormat="1" ht="21" customHeight="1" x14ac:dyDescent="0.3">
      <c r="A38" s="567" t="s">
        <v>827</v>
      </c>
      <c r="B38" s="2824">
        <v>370000</v>
      </c>
      <c r="C38" s="572">
        <v>0</v>
      </c>
      <c r="D38" s="757">
        <v>0</v>
      </c>
      <c r="E38" s="765">
        <v>0</v>
      </c>
      <c r="F38" s="575">
        <v>0</v>
      </c>
      <c r="G38" s="572">
        <v>0</v>
      </c>
      <c r="H38" s="499"/>
      <c r="I38" s="2343">
        <v>0</v>
      </c>
      <c r="J38" s="66"/>
      <c r="K38" s="16">
        <v>19582800</v>
      </c>
      <c r="L38" s="74"/>
    </row>
    <row r="39" spans="1:15" ht="21" customHeight="1" x14ac:dyDescent="0.3">
      <c r="A39" s="18" t="s">
        <v>57</v>
      </c>
      <c r="B39" s="1608">
        <v>370000</v>
      </c>
      <c r="C39" s="477">
        <v>0</v>
      </c>
      <c r="D39" s="754"/>
      <c r="E39" s="764"/>
      <c r="F39" s="68">
        <v>0</v>
      </c>
      <c r="G39" s="477"/>
      <c r="H39" s="498"/>
      <c r="I39" s="2343">
        <v>0</v>
      </c>
    </row>
    <row r="40" spans="1:15" ht="21" customHeight="1" x14ac:dyDescent="0.3">
      <c r="A40" s="18" t="s">
        <v>112</v>
      </c>
      <c r="B40" s="2825"/>
      <c r="C40" s="2978">
        <v>0</v>
      </c>
      <c r="D40" s="754"/>
      <c r="E40" s="763"/>
      <c r="F40" s="576"/>
      <c r="G40" s="477">
        <v>0</v>
      </c>
      <c r="H40" s="498"/>
      <c r="I40" s="2343">
        <v>0</v>
      </c>
      <c r="K40" s="2382">
        <v>10721000</v>
      </c>
    </row>
    <row r="41" spans="1:15" s="24" customFormat="1" ht="21" customHeight="1" thickBot="1" x14ac:dyDescent="0.3">
      <c r="A41" s="577" t="s">
        <v>25</v>
      </c>
      <c r="B41" s="2826">
        <v>19731819.600000001</v>
      </c>
      <c r="C41" s="2979">
        <v>14805373</v>
      </c>
      <c r="D41" s="758">
        <v>1354640.55</v>
      </c>
      <c r="E41" s="766">
        <v>1599096</v>
      </c>
      <c r="F41" s="578">
        <v>2953736.55</v>
      </c>
      <c r="G41" s="579">
        <v>11851636.449999999</v>
      </c>
      <c r="H41" s="510"/>
      <c r="I41" s="2343">
        <v>14805373</v>
      </c>
      <c r="J41" s="70"/>
    </row>
    <row r="42" spans="1:15" s="24" customFormat="1" ht="21" customHeight="1" x14ac:dyDescent="0.25">
      <c r="A42" s="6"/>
      <c r="B42" s="2828"/>
      <c r="C42" s="816"/>
      <c r="D42" s="816"/>
      <c r="E42" s="816"/>
      <c r="F42" s="816"/>
      <c r="G42" s="816"/>
      <c r="H42" s="689"/>
      <c r="I42" s="2343"/>
      <c r="J42" s="2861"/>
    </row>
    <row r="43" spans="1:15" s="24" customFormat="1" ht="21" customHeight="1" x14ac:dyDescent="0.25">
      <c r="A43" s="2986" t="s">
        <v>1012</v>
      </c>
      <c r="C43" s="816">
        <v>19582800</v>
      </c>
      <c r="D43" s="816"/>
      <c r="E43" s="816"/>
      <c r="F43" s="816"/>
      <c r="G43" s="816"/>
      <c r="H43" s="689"/>
      <c r="I43" s="2343"/>
      <c r="J43" s="2861"/>
    </row>
    <row r="44" spans="1:15" s="24" customFormat="1" ht="21" customHeight="1" x14ac:dyDescent="0.25">
      <c r="A44" s="2987" t="s">
        <v>1014</v>
      </c>
      <c r="B44" s="2828"/>
      <c r="C44" s="2828">
        <v>19582800</v>
      </c>
      <c r="D44" s="2988" t="s">
        <v>1015</v>
      </c>
      <c r="E44" s="2988"/>
      <c r="F44" s="2988"/>
      <c r="G44" s="2988"/>
      <c r="H44" s="689"/>
      <c r="I44" s="2343"/>
      <c r="J44" s="2861"/>
    </row>
    <row r="45" spans="1:15" s="24" customFormat="1" ht="21" customHeight="1" x14ac:dyDescent="0.25">
      <c r="A45" s="6"/>
      <c r="B45" s="2828"/>
      <c r="C45" s="816">
        <v>0</v>
      </c>
      <c r="D45" s="2988">
        <v>4781027</v>
      </c>
      <c r="E45" s="2988">
        <v>8861800</v>
      </c>
      <c r="F45" s="2988">
        <v>5939973</v>
      </c>
      <c r="G45" s="2988">
        <v>19582800</v>
      </c>
      <c r="H45" s="689"/>
      <c r="I45" s="2343"/>
      <c r="J45" s="2861"/>
    </row>
    <row r="46" spans="1:15" s="24" customFormat="1" ht="21" customHeight="1" x14ac:dyDescent="0.25">
      <c r="A46" s="6"/>
      <c r="B46" s="2828"/>
      <c r="C46" s="816"/>
      <c r="D46" s="816"/>
      <c r="E46" s="816"/>
      <c r="F46" s="816"/>
      <c r="G46" s="816"/>
      <c r="H46" s="689"/>
      <c r="I46" s="2343"/>
      <c r="J46" s="2861"/>
    </row>
    <row r="47" spans="1:15" s="24" customFormat="1" ht="21" hidden="1" customHeight="1" x14ac:dyDescent="0.5">
      <c r="A47" s="6" t="s">
        <v>964</v>
      </c>
      <c r="B47" s="2827"/>
      <c r="C47" s="2980">
        <v>24108875</v>
      </c>
      <c r="D47" s="816"/>
      <c r="E47" s="816"/>
      <c r="F47" s="580"/>
      <c r="G47" s="688"/>
      <c r="H47" s="689"/>
      <c r="I47" s="689"/>
      <c r="J47" s="70"/>
    </row>
    <row r="48" spans="1:15" s="24" customFormat="1" ht="20.100000000000001" hidden="1" customHeight="1" x14ac:dyDescent="0.5">
      <c r="A48" s="6" t="s">
        <v>962</v>
      </c>
      <c r="B48" s="2828"/>
      <c r="C48" s="2981">
        <v>19582800</v>
      </c>
      <c r="D48" s="816">
        <v>3257175</v>
      </c>
      <c r="E48" s="816"/>
      <c r="F48" s="580"/>
      <c r="G48" s="580"/>
      <c r="H48" s="23"/>
      <c r="I48" s="23"/>
      <c r="J48" s="70"/>
    </row>
    <row r="49" spans="1:10" s="24" customFormat="1" ht="20.100000000000001" hidden="1" customHeight="1" x14ac:dyDescent="0.5">
      <c r="A49" s="6" t="s">
        <v>963</v>
      </c>
      <c r="B49" s="2828"/>
      <c r="C49" s="2981">
        <v>1268900</v>
      </c>
      <c r="D49" s="816"/>
      <c r="E49" s="816"/>
      <c r="F49" s="580"/>
      <c r="G49" s="580"/>
      <c r="H49" s="23"/>
      <c r="I49" s="23"/>
      <c r="J49" s="70"/>
    </row>
    <row r="50" spans="1:10" s="24" customFormat="1" ht="20.100000000000001" hidden="1" customHeight="1" x14ac:dyDescent="0.5">
      <c r="A50" s="6" t="s">
        <v>25</v>
      </c>
      <c r="B50" s="2828"/>
      <c r="C50" s="2981">
        <v>20851700</v>
      </c>
      <c r="D50" s="816"/>
      <c r="E50" s="816"/>
      <c r="F50" s="580"/>
      <c r="G50" s="580"/>
      <c r="H50" s="23"/>
      <c r="I50" s="23"/>
      <c r="J50" s="70"/>
    </row>
    <row r="51" spans="1:10" ht="20.100000000000001" customHeight="1" x14ac:dyDescent="0.3">
      <c r="A51" s="17" t="s">
        <v>999</v>
      </c>
      <c r="B51" s="2660"/>
      <c r="C51" s="2660">
        <v>34873300</v>
      </c>
      <c r="D51" s="2829"/>
      <c r="E51" s="818"/>
      <c r="F51" s="67"/>
    </row>
    <row r="52" spans="1:10" ht="17.100000000000001" customHeight="1" x14ac:dyDescent="0.3">
      <c r="A52" s="3" t="s">
        <v>1001</v>
      </c>
      <c r="B52" s="2829">
        <v>3000200</v>
      </c>
      <c r="C52" s="817"/>
      <c r="D52" s="817"/>
      <c r="E52" s="818"/>
      <c r="F52" s="67"/>
    </row>
    <row r="53" spans="1:10" ht="17.100000000000001" customHeight="1" x14ac:dyDescent="0.3">
      <c r="A53" s="3" t="s">
        <v>431</v>
      </c>
      <c r="B53" s="2829"/>
      <c r="C53" s="817">
        <v>31873100</v>
      </c>
      <c r="D53" s="817"/>
      <c r="E53" s="818"/>
      <c r="F53" s="67"/>
    </row>
    <row r="54" spans="1:10" ht="17.100000000000001" customHeight="1" x14ac:dyDescent="0.3">
      <c r="A54" s="3" t="s">
        <v>1000</v>
      </c>
      <c r="B54" s="2981">
        <v>1268900</v>
      </c>
      <c r="C54" s="817">
        <v>30604200</v>
      </c>
      <c r="D54" s="817"/>
      <c r="E54" s="818"/>
      <c r="F54" s="67"/>
    </row>
    <row r="55" spans="1:10" ht="19.5" customHeight="1" x14ac:dyDescent="0.3">
      <c r="A55" s="2228" t="s">
        <v>820</v>
      </c>
      <c r="B55" s="2660"/>
      <c r="C55" s="817">
        <v>30604200</v>
      </c>
      <c r="D55" s="2660"/>
      <c r="E55" s="818"/>
      <c r="F55" s="67"/>
    </row>
    <row r="56" spans="1:10" ht="19.5" customHeight="1" x14ac:dyDescent="0.3">
      <c r="A56" s="2228" t="s">
        <v>1002</v>
      </c>
      <c r="B56" s="2660">
        <v>4004500</v>
      </c>
      <c r="C56" s="817">
        <v>26599700</v>
      </c>
      <c r="D56" s="2982" t="s">
        <v>1003</v>
      </c>
      <c r="E56" s="818"/>
      <c r="F56" s="67"/>
    </row>
    <row r="57" spans="1:10" ht="19.5" customHeight="1" x14ac:dyDescent="0.3">
      <c r="A57" s="2228" t="s">
        <v>1004</v>
      </c>
      <c r="B57" s="2660"/>
      <c r="C57" s="817">
        <v>26599700</v>
      </c>
      <c r="D57" s="2982"/>
      <c r="E57" s="818"/>
      <c r="F57" s="67"/>
    </row>
    <row r="58" spans="1:10" ht="19.5" customHeight="1" x14ac:dyDescent="0.3">
      <c r="A58" s="2228" t="s">
        <v>1005</v>
      </c>
      <c r="B58" s="2660"/>
      <c r="C58" s="817"/>
      <c r="D58" s="2982"/>
      <c r="E58" s="818"/>
      <c r="F58" s="67"/>
    </row>
    <row r="59" spans="1:10" ht="17.100000000000001" customHeight="1" x14ac:dyDescent="0.3">
      <c r="A59" s="17" t="s">
        <v>1006</v>
      </c>
      <c r="B59" s="2660">
        <v>8861800</v>
      </c>
      <c r="C59" s="479">
        <v>8861800</v>
      </c>
      <c r="E59" s="818"/>
      <c r="F59" s="67"/>
    </row>
    <row r="60" spans="1:10" ht="17.100000000000001" customHeight="1" x14ac:dyDescent="0.3">
      <c r="A60" s="17" t="s">
        <v>1007</v>
      </c>
      <c r="B60" s="2660">
        <v>7016900</v>
      </c>
      <c r="C60" s="479">
        <v>15878700</v>
      </c>
      <c r="E60" s="818"/>
      <c r="F60" s="67"/>
    </row>
    <row r="61" spans="1:10" ht="17.100000000000001" customHeight="1" x14ac:dyDescent="0.3">
      <c r="A61" s="2984" t="s">
        <v>1008</v>
      </c>
      <c r="B61" s="2659">
        <v>10721000</v>
      </c>
      <c r="C61" s="2985" t="s">
        <v>1009</v>
      </c>
      <c r="D61" s="2985"/>
      <c r="E61" s="818"/>
      <c r="F61" s="67"/>
    </row>
    <row r="62" spans="1:10" ht="17.100000000000001" customHeight="1" x14ac:dyDescent="0.3">
      <c r="A62" s="2984"/>
      <c r="B62" s="2659">
        <v>19582800</v>
      </c>
      <c r="C62" s="2985" t="s">
        <v>1011</v>
      </c>
      <c r="D62" s="2985"/>
      <c r="E62" s="818"/>
      <c r="F62" s="67"/>
    </row>
    <row r="63" spans="1:10" ht="20.25" customHeight="1" x14ac:dyDescent="0.3">
      <c r="A63" s="782"/>
      <c r="B63" s="2983"/>
      <c r="C63" s="568"/>
      <c r="E63" s="817"/>
      <c r="F63" s="69"/>
      <c r="G63" s="69"/>
      <c r="H63" s="37"/>
      <c r="I63" s="37"/>
    </row>
    <row r="64" spans="1:10" ht="20.100000000000001" customHeight="1" x14ac:dyDescent="0.3">
      <c r="A64" s="17" t="s">
        <v>1010</v>
      </c>
      <c r="B64" s="2660"/>
      <c r="C64" s="2660">
        <v>27284600</v>
      </c>
      <c r="D64" s="2829"/>
      <c r="E64" s="818"/>
      <c r="F64" s="67"/>
    </row>
    <row r="65" spans="1:6" ht="17.100000000000001" customHeight="1" x14ac:dyDescent="0.3">
      <c r="A65" s="3" t="s">
        <v>1001</v>
      </c>
      <c r="B65" s="2829">
        <v>1500100</v>
      </c>
      <c r="C65" s="817"/>
      <c r="D65" s="817"/>
      <c r="E65" s="818"/>
      <c r="F65" s="67"/>
    </row>
    <row r="66" spans="1:6" ht="17.100000000000001" customHeight="1" x14ac:dyDescent="0.3">
      <c r="A66" s="3" t="s">
        <v>431</v>
      </c>
      <c r="B66" s="2829"/>
      <c r="C66" s="817">
        <v>25784500</v>
      </c>
      <c r="D66" s="817"/>
      <c r="E66" s="818"/>
      <c r="F66" s="67"/>
    </row>
    <row r="67" spans="1:6" ht="17.100000000000001" customHeight="1" x14ac:dyDescent="0.3">
      <c r="A67" s="3" t="s">
        <v>1000</v>
      </c>
      <c r="B67" s="2981">
        <v>822800</v>
      </c>
      <c r="C67" s="817">
        <v>24961700</v>
      </c>
      <c r="D67" s="817"/>
      <c r="E67" s="818"/>
      <c r="F67" s="67"/>
    </row>
    <row r="68" spans="1:6" ht="19.5" customHeight="1" x14ac:dyDescent="0.3">
      <c r="A68" s="2228" t="s">
        <v>820</v>
      </c>
      <c r="B68" s="2660"/>
      <c r="C68" s="817">
        <v>24961700</v>
      </c>
      <c r="D68" s="2660"/>
      <c r="E68" s="818"/>
      <c r="F68" s="67"/>
    </row>
    <row r="69" spans="1:6" ht="19.5" customHeight="1" x14ac:dyDescent="0.3">
      <c r="A69" s="2228" t="s">
        <v>1002</v>
      </c>
      <c r="B69" s="2660">
        <v>4004500</v>
      </c>
      <c r="C69" s="817">
        <v>20957200</v>
      </c>
      <c r="D69" s="2982" t="s">
        <v>1003</v>
      </c>
      <c r="E69" s="818"/>
      <c r="F69" s="67"/>
    </row>
    <row r="70" spans="1:6" ht="19.5" customHeight="1" x14ac:dyDescent="0.3">
      <c r="A70" s="2228" t="s">
        <v>1004</v>
      </c>
      <c r="B70" s="2660"/>
      <c r="C70" s="817">
        <v>20957200</v>
      </c>
      <c r="D70" s="2982"/>
      <c r="E70" s="818"/>
      <c r="F70" s="67"/>
    </row>
    <row r="71" spans="1:6" ht="19.5" customHeight="1" x14ac:dyDescent="0.3">
      <c r="A71" s="2228" t="s">
        <v>1005</v>
      </c>
      <c r="B71" s="2660"/>
      <c r="C71" s="817"/>
      <c r="D71" s="2982"/>
      <c r="E71" s="818"/>
      <c r="F71" s="67"/>
    </row>
    <row r="72" spans="1:6" ht="17.100000000000001" customHeight="1" x14ac:dyDescent="0.3">
      <c r="A72" s="17" t="s">
        <v>1006</v>
      </c>
      <c r="B72" s="2660">
        <v>8861800</v>
      </c>
      <c r="C72" s="479">
        <v>8861800</v>
      </c>
      <c r="E72" s="818"/>
      <c r="F72" s="67"/>
    </row>
    <row r="73" spans="1:6" ht="17.100000000000001" customHeight="1" x14ac:dyDescent="0.3">
      <c r="A73" s="17" t="s">
        <v>1007</v>
      </c>
      <c r="B73" s="2660">
        <v>7016900</v>
      </c>
      <c r="C73" s="479">
        <v>15878700</v>
      </c>
      <c r="E73" s="818"/>
      <c r="F73" s="67"/>
    </row>
    <row r="74" spans="1:6" ht="17.100000000000001" customHeight="1" x14ac:dyDescent="0.3">
      <c r="A74" s="2984" t="s">
        <v>1008</v>
      </c>
      <c r="B74" s="2659">
        <v>5078500</v>
      </c>
      <c r="C74" s="2985" t="s">
        <v>1009</v>
      </c>
      <c r="D74" s="2985"/>
      <c r="E74" s="818"/>
      <c r="F74" s="67"/>
    </row>
    <row r="76" spans="1:6" x14ac:dyDescent="0.3">
      <c r="A76" s="3094" t="s">
        <v>1055</v>
      </c>
      <c r="B76" s="3095">
        <v>2574976.4500000002</v>
      </c>
    </row>
  </sheetData>
  <mergeCells count="3">
    <mergeCell ref="D2:F2"/>
    <mergeCell ref="A1:F1"/>
    <mergeCell ref="C3:C4"/>
  </mergeCells>
  <phoneticPr fontId="2" type="noConversion"/>
  <pageMargins left="0.15748031496062992" right="0" top="0.59055118110236227" bottom="0.39370078740157483" header="0.51181102362204722" footer="0.51181102362204722"/>
  <pageSetup scale="85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W245"/>
  <sheetViews>
    <sheetView zoomScale="80" zoomScaleNormal="80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Q3" sqref="Q3:U3"/>
    </sheetView>
  </sheetViews>
  <sheetFormatPr defaultColWidth="9.140625" defaultRowHeight="18.75" x14ac:dyDescent="0.3"/>
  <cols>
    <col min="1" max="1" width="17" style="366" customWidth="1"/>
    <col min="2" max="2" width="12.85546875" style="602" customWidth="1"/>
    <col min="3" max="3" width="14.7109375" style="602" customWidth="1"/>
    <col min="4" max="4" width="13.5703125" style="794" customWidth="1"/>
    <col min="5" max="5" width="13.7109375" style="804" customWidth="1"/>
    <col min="6" max="6" width="13.42578125" style="1592" customWidth="1"/>
    <col min="7" max="7" width="12.42578125" style="602" bestFit="1" customWidth="1"/>
    <col min="8" max="8" width="12.7109375" style="602" customWidth="1"/>
    <col min="9" max="9" width="11.7109375" style="602" customWidth="1"/>
    <col min="10" max="10" width="11.85546875" style="794" customWidth="1"/>
    <col min="11" max="11" width="12.140625" style="804" customWidth="1"/>
    <col min="12" max="12" width="13" style="1578" customWidth="1"/>
    <col min="13" max="13" width="11" style="602" bestFit="1" customWidth="1"/>
    <col min="14" max="14" width="12.42578125" style="366" bestFit="1" customWidth="1"/>
    <col min="15" max="15" width="26.85546875" style="366" customWidth="1"/>
    <col min="16" max="16" width="13.85546875" style="602" bestFit="1" customWidth="1"/>
    <col min="17" max="17" width="14.140625" style="602" customWidth="1"/>
    <col min="18" max="18" width="14.42578125" style="794" customWidth="1"/>
    <col min="19" max="19" width="13.5703125" style="804" customWidth="1"/>
    <col min="20" max="20" width="16.7109375" style="602" customWidth="1"/>
    <col min="21" max="21" width="10.5703125" style="604" customWidth="1"/>
    <col min="22" max="22" width="9.140625" style="366"/>
    <col min="23" max="23" width="13.28515625" style="366" customWidth="1"/>
    <col min="24" max="16384" width="9.140625" style="366"/>
  </cols>
  <sheetData>
    <row r="1" spans="1:23" x14ac:dyDescent="0.3">
      <c r="A1" s="2763" t="s">
        <v>938</v>
      </c>
      <c r="B1" s="2671">
        <v>4777427</v>
      </c>
      <c r="C1" s="2834">
        <v>595238.9</v>
      </c>
      <c r="D1" s="2834">
        <v>73242</v>
      </c>
      <c r="E1" s="2834">
        <v>521996.9</v>
      </c>
      <c r="J1" s="602"/>
      <c r="K1" s="602"/>
      <c r="L1" s="2757"/>
      <c r="O1" s="603" t="s">
        <v>829</v>
      </c>
      <c r="R1" s="602"/>
      <c r="S1" s="602"/>
    </row>
    <row r="2" spans="1:23" ht="19.5" thickBot="1" x14ac:dyDescent="0.35">
      <c r="A2" s="2764"/>
      <c r="B2" s="2756">
        <v>3304402</v>
      </c>
      <c r="C2" s="2756">
        <v>392949.74</v>
      </c>
      <c r="D2" s="2756">
        <v>68432</v>
      </c>
      <c r="E2" s="2756">
        <v>324517.74</v>
      </c>
      <c r="F2" s="2756">
        <v>2911452.2600000002</v>
      </c>
      <c r="G2" s="822"/>
      <c r="H2" s="2756">
        <v>1473025</v>
      </c>
      <c r="I2" s="2756">
        <v>202289.16</v>
      </c>
      <c r="J2" s="2756">
        <v>4810</v>
      </c>
      <c r="K2" s="2756">
        <v>197479.16</v>
      </c>
      <c r="L2" s="2756">
        <v>1270735.8399999999</v>
      </c>
      <c r="N2" s="719"/>
      <c r="O2" s="2759" t="s">
        <v>935</v>
      </c>
      <c r="P2" s="2760">
        <v>4777427</v>
      </c>
      <c r="Q2" s="2761" t="s">
        <v>936</v>
      </c>
      <c r="R2" s="2761"/>
      <c r="S2" s="602"/>
      <c r="T2" s="828">
        <v>45653</v>
      </c>
      <c r="U2" s="606"/>
    </row>
    <row r="3" spans="1:23" ht="24.95" customHeight="1" thickTop="1" x14ac:dyDescent="0.3">
      <c r="A3" s="3491" t="s">
        <v>0</v>
      </c>
      <c r="B3" s="2773" t="s">
        <v>66</v>
      </c>
      <c r="C3" s="3510" t="s">
        <v>6</v>
      </c>
      <c r="D3" s="3511"/>
      <c r="E3" s="3511"/>
      <c r="F3" s="3511"/>
      <c r="G3" s="3512"/>
      <c r="H3" s="2787" t="s">
        <v>66</v>
      </c>
      <c r="I3" s="3494" t="s">
        <v>2</v>
      </c>
      <c r="J3" s="3495"/>
      <c r="K3" s="3495"/>
      <c r="L3" s="3495"/>
      <c r="M3" s="3496"/>
      <c r="N3" s="406"/>
      <c r="O3" s="3497" t="s">
        <v>0</v>
      </c>
      <c r="P3" s="607" t="s">
        <v>66</v>
      </c>
      <c r="Q3" s="3507" t="s">
        <v>58</v>
      </c>
      <c r="R3" s="3508"/>
      <c r="S3" s="3508"/>
      <c r="T3" s="3508"/>
      <c r="U3" s="3509"/>
      <c r="W3" s="931">
        <v>595238.9</v>
      </c>
    </row>
    <row r="4" spans="1:23" ht="24.95" customHeight="1" x14ac:dyDescent="0.3">
      <c r="A4" s="3492"/>
      <c r="B4" s="608" t="s">
        <v>27</v>
      </c>
      <c r="C4" s="609" t="s">
        <v>28</v>
      </c>
      <c r="D4" s="795" t="s">
        <v>34</v>
      </c>
      <c r="E4" s="805" t="s">
        <v>62</v>
      </c>
      <c r="F4" s="1593" t="s">
        <v>16</v>
      </c>
      <c r="G4" s="2766" t="s">
        <v>22</v>
      </c>
      <c r="H4" s="2788" t="s">
        <v>27</v>
      </c>
      <c r="I4" s="609" t="s">
        <v>28</v>
      </c>
      <c r="J4" s="795" t="s">
        <v>34</v>
      </c>
      <c r="K4" s="805" t="s">
        <v>62</v>
      </c>
      <c r="L4" s="1579" t="s">
        <v>16</v>
      </c>
      <c r="M4" s="2766" t="s">
        <v>22</v>
      </c>
      <c r="O4" s="3498"/>
      <c r="P4" s="608" t="s">
        <v>27</v>
      </c>
      <c r="Q4" s="609" t="s">
        <v>28</v>
      </c>
      <c r="R4" s="795" t="s">
        <v>34</v>
      </c>
      <c r="S4" s="805" t="s">
        <v>62</v>
      </c>
      <c r="T4" s="609" t="s">
        <v>16</v>
      </c>
      <c r="U4" s="609" t="s">
        <v>22</v>
      </c>
    </row>
    <row r="5" spans="1:23" ht="24.95" customHeight="1" x14ac:dyDescent="0.3">
      <c r="A5" s="3493"/>
      <c r="B5" s="608" t="s">
        <v>942</v>
      </c>
      <c r="C5" s="2830">
        <v>1959802</v>
      </c>
      <c r="D5" s="796"/>
      <c r="E5" s="806"/>
      <c r="F5" s="1594"/>
      <c r="G5" s="2767" t="s">
        <v>63</v>
      </c>
      <c r="H5" s="2788" t="s">
        <v>942</v>
      </c>
      <c r="I5" s="2830">
        <v>14000</v>
      </c>
      <c r="J5" s="796"/>
      <c r="K5" s="806"/>
      <c r="L5" s="1580"/>
      <c r="M5" s="2767" t="s">
        <v>63</v>
      </c>
      <c r="O5" s="3499"/>
      <c r="P5" s="608" t="s">
        <v>942</v>
      </c>
      <c r="Q5" s="610"/>
      <c r="R5" s="796"/>
      <c r="S5" s="806"/>
      <c r="T5" s="610"/>
      <c r="U5" s="610" t="s">
        <v>63</v>
      </c>
    </row>
    <row r="6" spans="1:23" ht="24.95" customHeight="1" thickBot="1" x14ac:dyDescent="0.35">
      <c r="A6" s="2774" t="s">
        <v>28</v>
      </c>
      <c r="B6" s="1422">
        <v>1959802</v>
      </c>
      <c r="C6" s="368">
        <v>140199.52000000002</v>
      </c>
      <c r="D6" s="797">
        <v>23512</v>
      </c>
      <c r="E6" s="807">
        <v>116687.52</v>
      </c>
      <c r="F6" s="1581">
        <v>1819602.48</v>
      </c>
      <c r="G6" s="2768">
        <v>5.9540463781545281</v>
      </c>
      <c r="H6" s="2789">
        <v>14000</v>
      </c>
      <c r="I6" s="368">
        <v>4259.66</v>
      </c>
      <c r="J6" s="797">
        <v>990</v>
      </c>
      <c r="K6" s="807">
        <v>3269.66</v>
      </c>
      <c r="L6" s="1581">
        <v>9740.34</v>
      </c>
      <c r="M6" s="2790">
        <v>23.354714285714287</v>
      </c>
      <c r="N6" s="719"/>
      <c r="O6" s="611" t="s">
        <v>28</v>
      </c>
      <c r="P6" s="368">
        <v>4777427</v>
      </c>
      <c r="Q6" s="1000">
        <v>595238.89999999991</v>
      </c>
      <c r="R6" s="797">
        <v>73242</v>
      </c>
      <c r="S6" s="807">
        <v>521996.89999999997</v>
      </c>
      <c r="T6" s="368">
        <v>4182188.1</v>
      </c>
      <c r="U6" s="368">
        <v>10.926318706701327</v>
      </c>
      <c r="W6" s="591">
        <v>0</v>
      </c>
    </row>
    <row r="7" spans="1:23" s="385" customFormat="1" ht="24.95" customHeight="1" thickTop="1" x14ac:dyDescent="0.3">
      <c r="A7" s="2775" t="s">
        <v>7</v>
      </c>
      <c r="B7" s="369">
        <v>35100</v>
      </c>
      <c r="C7" s="613">
        <v>11400</v>
      </c>
      <c r="D7" s="798">
        <v>0</v>
      </c>
      <c r="E7" s="808">
        <v>11400</v>
      </c>
      <c r="F7" s="1596">
        <v>23700</v>
      </c>
      <c r="G7" s="2769">
        <v>32.478632478632477</v>
      </c>
      <c r="H7" s="2791">
        <v>0</v>
      </c>
      <c r="I7" s="613">
        <v>0</v>
      </c>
      <c r="J7" s="798">
        <v>0</v>
      </c>
      <c r="K7" s="808">
        <v>0</v>
      </c>
      <c r="L7" s="1582">
        <v>0</v>
      </c>
      <c r="M7" s="2769" t="e">
        <v>#DIV/0!</v>
      </c>
      <c r="N7" s="401"/>
      <c r="O7" s="409" t="s">
        <v>7</v>
      </c>
      <c r="P7" s="614">
        <v>666700</v>
      </c>
      <c r="Q7" s="613">
        <v>239380</v>
      </c>
      <c r="R7" s="798">
        <v>3600</v>
      </c>
      <c r="S7" s="808">
        <v>235780</v>
      </c>
      <c r="T7" s="613">
        <v>427320</v>
      </c>
      <c r="U7" s="615">
        <v>35.36523173841308</v>
      </c>
    </row>
    <row r="8" spans="1:23" ht="24.95" customHeight="1" x14ac:dyDescent="0.3">
      <c r="A8" s="2776" t="s">
        <v>8</v>
      </c>
      <c r="B8" s="1203"/>
      <c r="C8" s="374">
        <v>1200</v>
      </c>
      <c r="D8" s="781">
        <v>0</v>
      </c>
      <c r="E8" s="809">
        <v>1200</v>
      </c>
      <c r="F8" s="1583">
        <v>-1200</v>
      </c>
      <c r="G8" s="2770" t="e">
        <v>#DIV/0!</v>
      </c>
      <c r="H8" s="2792"/>
      <c r="I8" s="374">
        <v>0</v>
      </c>
      <c r="J8" s="781">
        <v>0</v>
      </c>
      <c r="K8" s="809">
        <v>0</v>
      </c>
      <c r="L8" s="1583">
        <v>0</v>
      </c>
      <c r="M8" s="2770" t="e">
        <v>#DIV/0!</v>
      </c>
      <c r="N8" s="406"/>
      <c r="O8" s="398" t="s">
        <v>8</v>
      </c>
      <c r="P8" s="616">
        <v>171200</v>
      </c>
      <c r="Q8" s="374">
        <v>13830</v>
      </c>
      <c r="R8" s="781">
        <v>3600</v>
      </c>
      <c r="S8" s="809">
        <v>10230</v>
      </c>
      <c r="T8" s="374">
        <v>157370</v>
      </c>
      <c r="U8" s="617">
        <v>5.9754672897196262</v>
      </c>
      <c r="W8" s="598">
        <v>97010</v>
      </c>
    </row>
    <row r="9" spans="1:23" ht="24.95" customHeight="1" x14ac:dyDescent="0.3">
      <c r="A9" s="2776" t="s">
        <v>306</v>
      </c>
      <c r="B9" s="372">
        <v>35100</v>
      </c>
      <c r="C9" s="374">
        <v>10200</v>
      </c>
      <c r="D9" s="781">
        <v>0</v>
      </c>
      <c r="E9" s="809">
        <v>10200</v>
      </c>
      <c r="F9" s="1583">
        <v>24900</v>
      </c>
      <c r="G9" s="2770">
        <v>29.05982905982906</v>
      </c>
      <c r="H9" s="2778">
        <v>0</v>
      </c>
      <c r="I9" s="374">
        <v>0</v>
      </c>
      <c r="J9" s="781">
        <v>0</v>
      </c>
      <c r="K9" s="809">
        <v>0</v>
      </c>
      <c r="L9" s="1583">
        <v>0</v>
      </c>
      <c r="M9" s="2770" t="e">
        <v>#DIV/0!</v>
      </c>
      <c r="N9" s="406"/>
      <c r="O9" s="398" t="s">
        <v>306</v>
      </c>
      <c r="P9" s="374">
        <v>495500</v>
      </c>
      <c r="Q9" s="374">
        <v>225550</v>
      </c>
      <c r="R9" s="781">
        <v>0</v>
      </c>
      <c r="S9" s="809">
        <v>225550</v>
      </c>
      <c r="T9" s="374">
        <v>269950</v>
      </c>
      <c r="U9" s="617">
        <v>45.519677093844599</v>
      </c>
      <c r="W9" s="598">
        <v>273300</v>
      </c>
    </row>
    <row r="10" spans="1:23" ht="24.95" customHeight="1" x14ac:dyDescent="0.3">
      <c r="A10" s="2776"/>
      <c r="B10" s="372"/>
      <c r="C10" s="374"/>
      <c r="D10" s="781"/>
      <c r="E10" s="809">
        <v>10200</v>
      </c>
      <c r="F10" s="1583"/>
      <c r="G10" s="2770"/>
      <c r="H10" s="2778"/>
      <c r="I10" s="374"/>
      <c r="J10" s="781"/>
      <c r="K10" s="809"/>
      <c r="L10" s="1583"/>
      <c r="M10" s="2793"/>
      <c r="O10" s="398"/>
      <c r="P10" s="374"/>
      <c r="Q10" s="374"/>
      <c r="R10" s="781"/>
      <c r="S10" s="809"/>
      <c r="T10" s="374"/>
      <c r="U10" s="617"/>
    </row>
    <row r="11" spans="1:23" s="385" customFormat="1" ht="24.95" customHeight="1" x14ac:dyDescent="0.3">
      <c r="A11" s="2777" t="s">
        <v>9</v>
      </c>
      <c r="B11" s="375">
        <v>904110</v>
      </c>
      <c r="C11" s="376">
        <v>127258.72</v>
      </c>
      <c r="D11" s="799">
        <v>23512</v>
      </c>
      <c r="E11" s="810">
        <v>103746.72</v>
      </c>
      <c r="F11" s="1598">
        <v>776851.28</v>
      </c>
      <c r="G11" s="2771">
        <v>11.475010784086008</v>
      </c>
      <c r="H11" s="2794">
        <v>14000</v>
      </c>
      <c r="I11" s="376">
        <v>340</v>
      </c>
      <c r="J11" s="799">
        <v>990</v>
      </c>
      <c r="K11" s="810">
        <v>1407.86</v>
      </c>
      <c r="L11" s="1584">
        <v>3660</v>
      </c>
      <c r="M11" s="2771">
        <v>10.056142857142857</v>
      </c>
      <c r="N11" s="401"/>
      <c r="O11" s="387" t="s">
        <v>9</v>
      </c>
      <c r="P11" s="376">
        <v>2168735</v>
      </c>
      <c r="Q11" s="376">
        <v>350492.8</v>
      </c>
      <c r="R11" s="799">
        <v>69642</v>
      </c>
      <c r="S11" s="810">
        <v>280850.8</v>
      </c>
      <c r="T11" s="376">
        <v>1791445.78</v>
      </c>
      <c r="U11" s="610"/>
    </row>
    <row r="12" spans="1:23" ht="24.95" customHeight="1" x14ac:dyDescent="0.3">
      <c r="A12" s="2776" t="s">
        <v>321</v>
      </c>
      <c r="B12" s="372">
        <v>14000</v>
      </c>
      <c r="C12" s="374">
        <v>0</v>
      </c>
      <c r="D12" s="781">
        <v>0</v>
      </c>
      <c r="E12" s="809">
        <v>0</v>
      </c>
      <c r="F12" s="1583">
        <v>14000</v>
      </c>
      <c r="G12" s="2770">
        <v>0</v>
      </c>
      <c r="H12" s="2778"/>
      <c r="I12" s="374">
        <v>340</v>
      </c>
      <c r="J12" s="781">
        <v>0</v>
      </c>
      <c r="K12" s="809">
        <v>340</v>
      </c>
      <c r="L12" s="1583">
        <v>-340</v>
      </c>
      <c r="M12" s="2770" t="e">
        <v>#DIV/0!</v>
      </c>
      <c r="N12" s="406"/>
      <c r="O12" s="398" t="s">
        <v>321</v>
      </c>
      <c r="P12" s="374">
        <v>675700</v>
      </c>
      <c r="Q12" s="374">
        <v>136766</v>
      </c>
      <c r="R12" s="781">
        <v>44240</v>
      </c>
      <c r="S12" s="809">
        <v>92526</v>
      </c>
      <c r="T12" s="374">
        <v>538934</v>
      </c>
      <c r="U12" s="617">
        <v>13.693355039218588</v>
      </c>
      <c r="W12" s="598">
        <v>541400</v>
      </c>
    </row>
    <row r="13" spans="1:23" ht="24.95" customHeight="1" x14ac:dyDescent="0.3">
      <c r="A13" s="2776" t="s">
        <v>309</v>
      </c>
      <c r="B13" s="1423">
        <v>529018</v>
      </c>
      <c r="C13" s="374">
        <v>107958.72</v>
      </c>
      <c r="D13" s="994">
        <v>20972</v>
      </c>
      <c r="E13" s="809">
        <v>86986.72</v>
      </c>
      <c r="F13" s="1583">
        <v>421059.28</v>
      </c>
      <c r="G13" s="2770">
        <v>16.443054867698265</v>
      </c>
      <c r="H13" s="2778">
        <v>0</v>
      </c>
      <c r="I13" s="374">
        <v>0</v>
      </c>
      <c r="J13" s="781">
        <v>0</v>
      </c>
      <c r="K13" s="809">
        <v>0</v>
      </c>
      <c r="L13" s="1583">
        <v>0</v>
      </c>
      <c r="M13" s="2770" t="e">
        <v>#DIV/0!</v>
      </c>
      <c r="N13" s="406"/>
      <c r="O13" s="398" t="s">
        <v>309</v>
      </c>
      <c r="P13" s="374">
        <v>529018</v>
      </c>
      <c r="Q13" s="374">
        <v>107958.72</v>
      </c>
      <c r="R13" s="781">
        <v>20972</v>
      </c>
      <c r="S13" s="809">
        <v>86986.72</v>
      </c>
      <c r="T13" s="374">
        <v>421059.28</v>
      </c>
      <c r="U13" s="617">
        <v>16.443054867698265</v>
      </c>
      <c r="W13" s="598">
        <v>159509</v>
      </c>
    </row>
    <row r="14" spans="1:23" ht="24.95" customHeight="1" x14ac:dyDescent="0.3">
      <c r="A14" s="2776" t="s">
        <v>322</v>
      </c>
      <c r="B14" s="1423">
        <v>219092</v>
      </c>
      <c r="C14" s="374">
        <v>0</v>
      </c>
      <c r="D14" s="781">
        <v>0</v>
      </c>
      <c r="E14" s="809">
        <v>0</v>
      </c>
      <c r="F14" s="1583">
        <v>219092</v>
      </c>
      <c r="G14" s="2770">
        <v>0</v>
      </c>
      <c r="H14" s="2795"/>
      <c r="I14" s="374"/>
      <c r="J14" s="781">
        <v>0</v>
      </c>
      <c r="K14" s="809">
        <v>0</v>
      </c>
      <c r="L14" s="1583">
        <v>0</v>
      </c>
      <c r="M14" s="2770" t="e">
        <v>#DIV/0!</v>
      </c>
      <c r="N14" s="2669"/>
      <c r="O14" s="398" t="s">
        <v>322</v>
      </c>
      <c r="P14" s="374">
        <v>245092</v>
      </c>
      <c r="Q14" s="374">
        <v>5510.5</v>
      </c>
      <c r="R14" s="781">
        <v>0</v>
      </c>
      <c r="S14" s="809">
        <v>5510.5</v>
      </c>
      <c r="T14" s="374">
        <v>239581.5</v>
      </c>
      <c r="U14" s="617">
        <v>2.2483393990827936</v>
      </c>
      <c r="W14" s="598">
        <v>6000</v>
      </c>
    </row>
    <row r="15" spans="1:23" ht="24.95" customHeight="1" x14ac:dyDescent="0.3">
      <c r="A15" s="2776" t="s">
        <v>323</v>
      </c>
      <c r="B15" s="1423">
        <v>80000</v>
      </c>
      <c r="C15" s="374">
        <v>2200</v>
      </c>
      <c r="D15" s="781">
        <v>2200</v>
      </c>
      <c r="E15" s="809">
        <v>0</v>
      </c>
      <c r="F15" s="1583">
        <v>77800</v>
      </c>
      <c r="G15" s="2770">
        <v>0</v>
      </c>
      <c r="H15" s="2778"/>
      <c r="I15" s="374"/>
      <c r="J15" s="781">
        <v>0</v>
      </c>
      <c r="K15" s="809">
        <v>0</v>
      </c>
      <c r="L15" s="1583">
        <v>0</v>
      </c>
      <c r="M15" s="2770" t="e">
        <v>#DIV/0!</v>
      </c>
      <c r="N15" s="2669"/>
      <c r="O15" s="398" t="s">
        <v>323</v>
      </c>
      <c r="P15" s="374">
        <v>156000</v>
      </c>
      <c r="Q15" s="374">
        <v>4200</v>
      </c>
      <c r="R15" s="781">
        <v>2200</v>
      </c>
      <c r="S15" s="809">
        <v>2000</v>
      </c>
      <c r="T15" s="374">
        <v>151800</v>
      </c>
      <c r="U15" s="617">
        <v>1.2820512820512822</v>
      </c>
      <c r="W15" s="598">
        <v>8000</v>
      </c>
    </row>
    <row r="16" spans="1:23" ht="24.95" customHeight="1" x14ac:dyDescent="0.3">
      <c r="A16" s="2776" t="s">
        <v>324</v>
      </c>
      <c r="B16" s="372">
        <v>50000</v>
      </c>
      <c r="C16" s="374">
        <v>15280</v>
      </c>
      <c r="D16" s="781">
        <v>340</v>
      </c>
      <c r="E16" s="809">
        <v>14940</v>
      </c>
      <c r="F16" s="1583">
        <v>34720</v>
      </c>
      <c r="G16" s="2770">
        <v>29.88</v>
      </c>
      <c r="H16" s="2778"/>
      <c r="I16" s="374"/>
      <c r="J16" s="781">
        <v>990</v>
      </c>
      <c r="K16" s="809">
        <v>0</v>
      </c>
      <c r="L16" s="1583">
        <v>0</v>
      </c>
      <c r="M16" s="2770" t="e">
        <v>#DIV/0!</v>
      </c>
      <c r="N16" s="406"/>
      <c r="O16" s="398" t="s">
        <v>324</v>
      </c>
      <c r="P16" s="374">
        <v>342000</v>
      </c>
      <c r="Q16" s="374">
        <v>59436</v>
      </c>
      <c r="R16" s="781">
        <v>2230</v>
      </c>
      <c r="S16" s="809">
        <v>57206</v>
      </c>
      <c r="T16" s="374">
        <v>282564</v>
      </c>
      <c r="U16" s="617">
        <v>16.72690058479532</v>
      </c>
      <c r="W16" s="598">
        <v>33422</v>
      </c>
    </row>
    <row r="17" spans="1:23" ht="25.5" customHeight="1" x14ac:dyDescent="0.3">
      <c r="A17" s="2776" t="s">
        <v>313</v>
      </c>
      <c r="B17" s="372"/>
      <c r="C17" s="374">
        <v>0</v>
      </c>
      <c r="D17" s="781">
        <v>0</v>
      </c>
      <c r="E17" s="809">
        <v>0</v>
      </c>
      <c r="F17" s="1583">
        <v>0</v>
      </c>
      <c r="G17" s="2770" t="e">
        <v>#DIV/0!</v>
      </c>
      <c r="H17" s="2778"/>
      <c r="I17" s="374"/>
      <c r="J17" s="781">
        <v>0</v>
      </c>
      <c r="K17" s="809">
        <v>0</v>
      </c>
      <c r="L17" s="1583">
        <v>0</v>
      </c>
      <c r="M17" s="2770" t="e">
        <v>#DIV/0!</v>
      </c>
      <c r="N17" s="406"/>
      <c r="O17" s="398" t="s">
        <v>313</v>
      </c>
      <c r="P17" s="374">
        <v>0</v>
      </c>
      <c r="Q17" s="374">
        <v>0</v>
      </c>
      <c r="R17" s="781">
        <v>0</v>
      </c>
      <c r="S17" s="809">
        <v>0</v>
      </c>
      <c r="T17" s="374">
        <v>0</v>
      </c>
      <c r="U17" s="617" t="e">
        <v>#DIV/0!</v>
      </c>
      <c r="W17" s="598">
        <v>180000</v>
      </c>
    </row>
    <row r="18" spans="1:23" ht="24.95" customHeight="1" x14ac:dyDescent="0.3">
      <c r="A18" s="2776" t="s">
        <v>325</v>
      </c>
      <c r="B18" s="372"/>
      <c r="C18" s="374">
        <v>0</v>
      </c>
      <c r="D18" s="781">
        <v>0</v>
      </c>
      <c r="E18" s="809">
        <v>0</v>
      </c>
      <c r="F18" s="1583">
        <v>0</v>
      </c>
      <c r="G18" s="2770" t="e">
        <v>#DIV/0!</v>
      </c>
      <c r="H18" s="2778"/>
      <c r="I18" s="374"/>
      <c r="J18" s="781">
        <v>0</v>
      </c>
      <c r="K18" s="809">
        <v>0</v>
      </c>
      <c r="L18" s="1583">
        <v>0</v>
      </c>
      <c r="M18" s="2770" t="e">
        <v>#DIV/0!</v>
      </c>
      <c r="N18" s="406"/>
      <c r="O18" s="398" t="s">
        <v>325</v>
      </c>
      <c r="P18" s="374">
        <v>40000</v>
      </c>
      <c r="Q18" s="374">
        <v>19500</v>
      </c>
      <c r="R18" s="781">
        <v>0</v>
      </c>
      <c r="S18" s="809">
        <v>19500</v>
      </c>
      <c r="T18" s="374">
        <v>20500</v>
      </c>
      <c r="U18" s="617">
        <v>48.75</v>
      </c>
      <c r="W18" s="598">
        <v>20000</v>
      </c>
    </row>
    <row r="19" spans="1:23" ht="24.95" customHeight="1" x14ac:dyDescent="0.3">
      <c r="A19" s="2776" t="s">
        <v>326</v>
      </c>
      <c r="B19" s="372">
        <v>12000</v>
      </c>
      <c r="C19" s="374">
        <v>1820</v>
      </c>
      <c r="D19" s="781">
        <v>0</v>
      </c>
      <c r="E19" s="809">
        <v>1820</v>
      </c>
      <c r="F19" s="1583">
        <v>10180</v>
      </c>
      <c r="G19" s="2770">
        <v>15.166666666666666</v>
      </c>
      <c r="H19" s="2778">
        <v>4000</v>
      </c>
      <c r="I19" s="374"/>
      <c r="J19" s="781">
        <v>0</v>
      </c>
      <c r="K19" s="809">
        <v>0</v>
      </c>
      <c r="L19" s="1583">
        <v>4000</v>
      </c>
      <c r="M19" s="2770">
        <v>0</v>
      </c>
      <c r="N19" s="406"/>
      <c r="O19" s="398" t="s">
        <v>326</v>
      </c>
      <c r="P19" s="374">
        <v>150925</v>
      </c>
      <c r="Q19" s="374">
        <v>13918</v>
      </c>
      <c r="R19" s="781">
        <v>0</v>
      </c>
      <c r="S19" s="809">
        <v>13918</v>
      </c>
      <c r="T19" s="374">
        <v>137007</v>
      </c>
      <c r="U19" s="617">
        <v>9.2217989067417587</v>
      </c>
      <c r="W19" s="598">
        <v>54925</v>
      </c>
    </row>
    <row r="20" spans="1:23" ht="24.95" customHeight="1" x14ac:dyDescent="0.3">
      <c r="A20" s="2778" t="s">
        <v>390</v>
      </c>
      <c r="B20" s="372"/>
      <c r="C20" s="374"/>
      <c r="D20" s="781">
        <v>0</v>
      </c>
      <c r="E20" s="809">
        <v>0</v>
      </c>
      <c r="F20" s="1583"/>
      <c r="G20" s="2770"/>
      <c r="H20" s="2778">
        <v>10000</v>
      </c>
      <c r="I20" s="374"/>
      <c r="J20" s="781">
        <v>0</v>
      </c>
      <c r="K20" s="809">
        <v>1067.8599999999999</v>
      </c>
      <c r="L20" s="1583">
        <v>10000</v>
      </c>
      <c r="M20" s="2770">
        <v>10.678599999999999</v>
      </c>
      <c r="N20" s="406"/>
      <c r="O20" s="372" t="s">
        <v>390</v>
      </c>
      <c r="P20" s="374">
        <v>30000</v>
      </c>
      <c r="Q20" s="374">
        <v>3203.58</v>
      </c>
      <c r="R20" s="781">
        <v>0</v>
      </c>
      <c r="S20" s="809">
        <v>3203.58</v>
      </c>
      <c r="T20" s="374"/>
      <c r="U20" s="617">
        <v>10.678599999999999</v>
      </c>
      <c r="W20" s="598">
        <v>20000</v>
      </c>
    </row>
    <row r="21" spans="1:23" s="385" customFormat="1" ht="24.95" customHeight="1" x14ac:dyDescent="0.3">
      <c r="A21" s="2779" t="s">
        <v>12</v>
      </c>
      <c r="B21" s="375">
        <v>1020592</v>
      </c>
      <c r="C21" s="376">
        <v>1540.8</v>
      </c>
      <c r="D21" s="799">
        <v>0</v>
      </c>
      <c r="E21" s="811">
        <v>1540.8</v>
      </c>
      <c r="F21" s="1598">
        <v>1019051.2</v>
      </c>
      <c r="G21" s="2772">
        <v>0.15097120102842271</v>
      </c>
      <c r="H21" s="2794">
        <v>0</v>
      </c>
      <c r="I21" s="376">
        <v>1861.8</v>
      </c>
      <c r="J21" s="799">
        <v>0</v>
      </c>
      <c r="K21" s="810">
        <v>1861.8</v>
      </c>
      <c r="L21" s="1584">
        <v>-1861.8</v>
      </c>
      <c r="M21" s="2772" t="e">
        <v>#DIV/0!</v>
      </c>
      <c r="N21" s="2800"/>
      <c r="O21" s="526" t="s">
        <v>12</v>
      </c>
      <c r="P21" s="376">
        <v>1941992</v>
      </c>
      <c r="Q21" s="376">
        <v>5366.1</v>
      </c>
      <c r="R21" s="799">
        <v>0</v>
      </c>
      <c r="S21" s="810">
        <v>5366.1</v>
      </c>
      <c r="T21" s="376">
        <v>1936625.9</v>
      </c>
      <c r="U21" s="610"/>
    </row>
    <row r="22" spans="1:23" ht="24.95" customHeight="1" x14ac:dyDescent="0.3">
      <c r="A22" s="2778" t="s">
        <v>391</v>
      </c>
      <c r="B22" s="1423">
        <v>520592</v>
      </c>
      <c r="C22" s="374">
        <v>1540.8</v>
      </c>
      <c r="D22" s="781">
        <v>0</v>
      </c>
      <c r="E22" s="809">
        <v>1540.8</v>
      </c>
      <c r="F22" s="1583">
        <v>519051.2</v>
      </c>
      <c r="G22" s="2770">
        <v>0.29597074100255094</v>
      </c>
      <c r="H22" s="2778"/>
      <c r="I22" s="374">
        <v>0</v>
      </c>
      <c r="J22" s="781">
        <v>0</v>
      </c>
      <c r="K22" s="809">
        <v>0</v>
      </c>
      <c r="L22" s="1583">
        <v>0</v>
      </c>
      <c r="M22" s="2770" t="e">
        <v>#DIV/0!</v>
      </c>
      <c r="N22" s="719"/>
      <c r="O22" s="372" t="s">
        <v>391</v>
      </c>
      <c r="P22" s="374">
        <v>741992</v>
      </c>
      <c r="Q22" s="374">
        <v>2380.8000000000002</v>
      </c>
      <c r="R22" s="781">
        <v>0</v>
      </c>
      <c r="S22" s="809">
        <v>2380.8000000000002</v>
      </c>
      <c r="T22" s="374">
        <v>739611.2</v>
      </c>
      <c r="U22" s="617">
        <v>0.32086599316434683</v>
      </c>
      <c r="W22" s="598">
        <v>403825</v>
      </c>
    </row>
    <row r="23" spans="1:23" ht="24.95" customHeight="1" x14ac:dyDescent="0.3">
      <c r="A23" s="2778" t="s">
        <v>392</v>
      </c>
      <c r="B23" s="1423">
        <v>0</v>
      </c>
      <c r="C23" s="374">
        <v>0</v>
      </c>
      <c r="D23" s="781">
        <v>0</v>
      </c>
      <c r="E23" s="809">
        <v>0</v>
      </c>
      <c r="F23" s="1583">
        <v>0</v>
      </c>
      <c r="G23" s="2770" t="e">
        <v>#DIV/0!</v>
      </c>
      <c r="H23" s="2778">
        <v>0</v>
      </c>
      <c r="I23" s="374">
        <v>0</v>
      </c>
      <c r="J23" s="781">
        <v>0</v>
      </c>
      <c r="K23" s="809">
        <v>0</v>
      </c>
      <c r="L23" s="1583">
        <v>0</v>
      </c>
      <c r="M23" s="2770" t="e">
        <v>#DIV/0!</v>
      </c>
      <c r="N23" s="719"/>
      <c r="O23" s="372" t="s">
        <v>392</v>
      </c>
      <c r="P23" s="374">
        <v>0</v>
      </c>
      <c r="Q23" s="374">
        <v>0</v>
      </c>
      <c r="R23" s="781">
        <v>0</v>
      </c>
      <c r="S23" s="809">
        <v>0</v>
      </c>
      <c r="T23" s="374">
        <v>0</v>
      </c>
      <c r="U23" s="617" t="e">
        <v>#DIV/0!</v>
      </c>
    </row>
    <row r="24" spans="1:23" ht="24.95" customHeight="1" x14ac:dyDescent="0.3">
      <c r="A24" s="2778" t="s">
        <v>393</v>
      </c>
      <c r="B24" s="1423"/>
      <c r="C24" s="374">
        <v>0</v>
      </c>
      <c r="D24" s="781">
        <v>0</v>
      </c>
      <c r="E24" s="809">
        <v>0</v>
      </c>
      <c r="F24" s="1583">
        <v>0</v>
      </c>
      <c r="G24" s="2770" t="e">
        <v>#DIV/0!</v>
      </c>
      <c r="H24" s="2778">
        <v>0</v>
      </c>
      <c r="I24" s="374">
        <v>0</v>
      </c>
      <c r="J24" s="781">
        <v>0</v>
      </c>
      <c r="K24" s="809">
        <v>0</v>
      </c>
      <c r="L24" s="1583">
        <v>0</v>
      </c>
      <c r="M24" s="2770" t="e">
        <v>#DIV/0!</v>
      </c>
      <c r="N24" s="719"/>
      <c r="O24" s="372" t="s">
        <v>393</v>
      </c>
      <c r="P24" s="374">
        <v>0</v>
      </c>
      <c r="Q24" s="374">
        <v>0</v>
      </c>
      <c r="R24" s="781">
        <v>0</v>
      </c>
      <c r="S24" s="809">
        <v>0</v>
      </c>
      <c r="T24" s="374">
        <v>0</v>
      </c>
      <c r="U24" s="617" t="e">
        <v>#DIV/0!</v>
      </c>
    </row>
    <row r="25" spans="1:23" ht="24.95" customHeight="1" x14ac:dyDescent="0.3">
      <c r="A25" s="2778" t="s">
        <v>394</v>
      </c>
      <c r="B25" s="1423">
        <v>500000</v>
      </c>
      <c r="C25" s="374">
        <v>0</v>
      </c>
      <c r="D25" s="781">
        <v>0</v>
      </c>
      <c r="E25" s="809">
        <v>0</v>
      </c>
      <c r="F25" s="1583">
        <v>500000</v>
      </c>
      <c r="G25" s="2770">
        <v>0</v>
      </c>
      <c r="H25" s="2778"/>
      <c r="I25" s="374">
        <v>1861.8</v>
      </c>
      <c r="J25" s="781">
        <v>0</v>
      </c>
      <c r="K25" s="809">
        <v>1861.8</v>
      </c>
      <c r="L25" s="1583">
        <v>-1861.8</v>
      </c>
      <c r="M25" s="2770" t="e">
        <v>#DIV/0!</v>
      </c>
      <c r="N25" s="719"/>
      <c r="O25" s="372" t="s">
        <v>394</v>
      </c>
      <c r="P25" s="374">
        <v>1200000</v>
      </c>
      <c r="Q25" s="374">
        <v>2985.3</v>
      </c>
      <c r="R25" s="781">
        <v>0</v>
      </c>
      <c r="S25" s="809">
        <v>2985.3</v>
      </c>
      <c r="T25" s="374">
        <v>1197014.7</v>
      </c>
      <c r="U25" s="617">
        <v>0.248775</v>
      </c>
      <c r="W25" s="598">
        <v>440000</v>
      </c>
    </row>
    <row r="26" spans="1:23" ht="24.95" customHeight="1" thickBot="1" x14ac:dyDescent="0.35">
      <c r="A26" s="2780"/>
      <c r="B26" s="2781"/>
      <c r="C26" s="2782"/>
      <c r="D26" s="2783"/>
      <c r="E26" s="2784"/>
      <c r="F26" s="2785"/>
      <c r="G26" s="2786"/>
      <c r="H26" s="2796"/>
      <c r="I26" s="2782"/>
      <c r="J26" s="2783"/>
      <c r="K26" s="2784"/>
      <c r="L26" s="2797"/>
      <c r="M26" s="2798"/>
      <c r="O26" s="412"/>
      <c r="P26" s="619"/>
      <c r="Q26" s="619"/>
      <c r="R26" s="800"/>
      <c r="S26" s="811"/>
      <c r="T26" s="619"/>
      <c r="U26" s="621"/>
      <c r="W26" s="395">
        <v>2237391</v>
      </c>
    </row>
    <row r="27" spans="1:23" ht="19.5" thickTop="1" x14ac:dyDescent="0.3">
      <c r="B27" s="339"/>
      <c r="D27" s="602"/>
      <c r="E27" s="602"/>
      <c r="H27" s="339"/>
      <c r="J27" s="602"/>
      <c r="K27" s="602"/>
      <c r="R27" s="602"/>
      <c r="S27" s="602"/>
    </row>
    <row r="28" spans="1:23" x14ac:dyDescent="0.3">
      <c r="B28" s="339"/>
      <c r="D28" s="602"/>
      <c r="E28" s="602"/>
      <c r="H28" s="339"/>
      <c r="J28" s="602"/>
      <c r="K28" s="602"/>
      <c r="O28" s="719"/>
      <c r="R28" s="602"/>
      <c r="S28" s="602"/>
    </row>
    <row r="29" spans="1:23" x14ac:dyDescent="0.3">
      <c r="B29" s="339"/>
      <c r="D29" s="602"/>
      <c r="E29" s="602"/>
      <c r="H29" s="339"/>
      <c r="J29" s="602"/>
      <c r="K29" s="602"/>
      <c r="R29" s="602"/>
      <c r="S29" s="602"/>
    </row>
    <row r="30" spans="1:23" x14ac:dyDescent="0.3">
      <c r="B30" s="339"/>
      <c r="D30" s="602"/>
      <c r="E30" s="602"/>
      <c r="H30" s="339"/>
      <c r="J30" s="602"/>
      <c r="K30" s="602"/>
      <c r="R30" s="602"/>
      <c r="S30" s="602"/>
    </row>
    <row r="31" spans="1:23" x14ac:dyDescent="0.3">
      <c r="B31" s="339"/>
      <c r="D31" s="602"/>
      <c r="E31" s="602"/>
      <c r="H31" s="339"/>
      <c r="J31" s="602"/>
      <c r="K31" s="602"/>
      <c r="R31" s="602"/>
      <c r="S31" s="602"/>
    </row>
    <row r="32" spans="1:23" x14ac:dyDescent="0.3">
      <c r="B32" s="339"/>
      <c r="D32" s="602"/>
      <c r="E32" s="602"/>
      <c r="H32" s="339"/>
      <c r="J32" s="602"/>
      <c r="K32" s="602"/>
      <c r="R32" s="602"/>
      <c r="S32" s="602"/>
    </row>
    <row r="33" spans="1:20" x14ac:dyDescent="0.3">
      <c r="B33" s="339"/>
      <c r="D33" s="602"/>
      <c r="E33" s="602"/>
      <c r="H33" s="339"/>
      <c r="J33" s="602"/>
      <c r="K33" s="602"/>
      <c r="R33" s="602"/>
      <c r="S33" s="602"/>
    </row>
    <row r="34" spans="1:20" x14ac:dyDescent="0.3">
      <c r="B34" s="2671" t="s">
        <v>935</v>
      </c>
      <c r="D34" s="602"/>
      <c r="E34" s="602"/>
      <c r="G34" s="2755" t="s">
        <v>936</v>
      </c>
      <c r="H34" s="2671" t="s">
        <v>935</v>
      </c>
      <c r="J34" s="602"/>
      <c r="K34" s="602"/>
      <c r="L34" s="1592"/>
      <c r="M34" s="2755" t="s">
        <v>936</v>
      </c>
      <c r="R34" s="602"/>
      <c r="S34" s="602"/>
    </row>
    <row r="35" spans="1:20" x14ac:dyDescent="0.3">
      <c r="B35" s="932"/>
      <c r="C35" s="602">
        <v>28687.86</v>
      </c>
      <c r="D35" s="602"/>
      <c r="E35" s="602"/>
      <c r="G35" s="2755"/>
      <c r="H35" s="932"/>
      <c r="J35" s="602"/>
      <c r="K35" s="602"/>
      <c r="M35" s="2755"/>
      <c r="P35" s="622" t="s">
        <v>92</v>
      </c>
      <c r="R35" s="604"/>
      <c r="S35" s="602"/>
    </row>
    <row r="36" spans="1:20" ht="24.95" customHeight="1" x14ac:dyDescent="0.3">
      <c r="A36" s="3497" t="s">
        <v>0</v>
      </c>
      <c r="B36" s="1265" t="s">
        <v>66</v>
      </c>
      <c r="C36" s="3500" t="s">
        <v>1</v>
      </c>
      <c r="D36" s="3501"/>
      <c r="E36" s="3501"/>
      <c r="F36" s="3501"/>
      <c r="G36" s="3502"/>
      <c r="H36" s="1265" t="s">
        <v>66</v>
      </c>
      <c r="I36" s="3500" t="s">
        <v>3</v>
      </c>
      <c r="J36" s="3501"/>
      <c r="K36" s="3501"/>
      <c r="L36" s="3501"/>
      <c r="M36" s="3502"/>
      <c r="O36" s="623" t="s">
        <v>6</v>
      </c>
      <c r="P36" s="624">
        <v>140199.52000000002</v>
      </c>
      <c r="Q36" s="625"/>
      <c r="R36" s="625"/>
      <c r="S36" s="622"/>
      <c r="T36" s="626"/>
    </row>
    <row r="37" spans="1:20" ht="24.95" customHeight="1" x14ac:dyDescent="0.3">
      <c r="A37" s="3498"/>
      <c r="B37" s="1424" t="s">
        <v>27</v>
      </c>
      <c r="C37" s="609" t="s">
        <v>28</v>
      </c>
      <c r="D37" s="795" t="s">
        <v>34</v>
      </c>
      <c r="E37" s="805" t="s">
        <v>62</v>
      </c>
      <c r="F37" s="1593" t="s">
        <v>16</v>
      </c>
      <c r="G37" s="609" t="s">
        <v>22</v>
      </c>
      <c r="H37" s="1424" t="s">
        <v>27</v>
      </c>
      <c r="I37" s="609" t="s">
        <v>28</v>
      </c>
      <c r="J37" s="795" t="s">
        <v>34</v>
      </c>
      <c r="K37" s="805" t="s">
        <v>62</v>
      </c>
      <c r="L37" s="1579" t="s">
        <v>16</v>
      </c>
      <c r="M37" s="609" t="s">
        <v>22</v>
      </c>
      <c r="O37" s="623" t="s">
        <v>2</v>
      </c>
      <c r="P37" s="602">
        <v>4259.66</v>
      </c>
      <c r="Q37" s="624"/>
      <c r="R37" s="624"/>
      <c r="S37" s="624"/>
      <c r="T37" s="626"/>
    </row>
    <row r="38" spans="1:20" ht="24.95" customHeight="1" x14ac:dyDescent="0.3">
      <c r="A38" s="3499"/>
      <c r="B38" s="1424" t="s">
        <v>942</v>
      </c>
      <c r="C38" s="2830">
        <v>381700</v>
      </c>
      <c r="D38" s="796"/>
      <c r="E38" s="806"/>
      <c r="F38" s="1594"/>
      <c r="G38" s="610" t="s">
        <v>63</v>
      </c>
      <c r="H38" s="1424" t="s">
        <v>942</v>
      </c>
      <c r="I38" s="2830">
        <v>135750</v>
      </c>
      <c r="J38" s="796"/>
      <c r="K38" s="806"/>
      <c r="L38" s="1580"/>
      <c r="M38" s="610" t="s">
        <v>63</v>
      </c>
      <c r="O38" s="623" t="s">
        <v>1</v>
      </c>
      <c r="P38" s="602">
        <v>29367.86</v>
      </c>
      <c r="R38" s="602"/>
      <c r="S38" s="624"/>
      <c r="T38" s="626"/>
    </row>
    <row r="39" spans="1:20" ht="24.95" customHeight="1" thickBot="1" x14ac:dyDescent="0.35">
      <c r="A39" s="611" t="s">
        <v>28</v>
      </c>
      <c r="B39" s="1422">
        <v>381700</v>
      </c>
      <c r="C39" s="627">
        <v>29367.86</v>
      </c>
      <c r="D39" s="797">
        <v>680</v>
      </c>
      <c r="E39" s="807">
        <v>28687.86</v>
      </c>
      <c r="F39" s="1595">
        <v>352332.14</v>
      </c>
      <c r="G39" s="368">
        <v>7.5158134660728324</v>
      </c>
      <c r="H39" s="1422">
        <v>135750</v>
      </c>
      <c r="I39" s="368">
        <v>17265</v>
      </c>
      <c r="J39" s="797">
        <v>0</v>
      </c>
      <c r="K39" s="807">
        <v>17265</v>
      </c>
      <c r="L39" s="1581">
        <v>118485</v>
      </c>
      <c r="M39" s="612">
        <v>12.718232044198896</v>
      </c>
      <c r="O39" s="623" t="s">
        <v>3</v>
      </c>
      <c r="P39" s="628">
        <v>17265</v>
      </c>
      <c r="Q39" s="628"/>
      <c r="R39" s="628"/>
      <c r="S39" s="629"/>
      <c r="T39" s="630"/>
    </row>
    <row r="40" spans="1:20" ht="24.95" customHeight="1" thickTop="1" x14ac:dyDescent="0.3">
      <c r="A40" s="409" t="s">
        <v>7</v>
      </c>
      <c r="B40" s="370">
        <v>0</v>
      </c>
      <c r="C40" s="613">
        <v>0</v>
      </c>
      <c r="D40" s="798">
        <v>0</v>
      </c>
      <c r="E40" s="808">
        <v>0</v>
      </c>
      <c r="F40" s="1596">
        <v>0</v>
      </c>
      <c r="G40" s="613" t="e">
        <v>#DIV/0!</v>
      </c>
      <c r="H40" s="370">
        <v>65000</v>
      </c>
      <c r="I40" s="613">
        <v>15250</v>
      </c>
      <c r="J40" s="798">
        <v>0</v>
      </c>
      <c r="K40" s="808">
        <v>15250</v>
      </c>
      <c r="L40" s="1582">
        <v>49750</v>
      </c>
      <c r="M40" s="613">
        <v>23.46153846153846</v>
      </c>
      <c r="O40" s="623" t="s">
        <v>24</v>
      </c>
      <c r="P40" s="602">
        <v>164680</v>
      </c>
      <c r="R40" s="602"/>
      <c r="S40" s="624"/>
    </row>
    <row r="41" spans="1:20" ht="24.95" customHeight="1" x14ac:dyDescent="0.3">
      <c r="A41" s="398" t="s">
        <v>8</v>
      </c>
      <c r="B41" s="2229"/>
      <c r="C41" s="374">
        <v>0</v>
      </c>
      <c r="D41" s="781">
        <v>0</v>
      </c>
      <c r="E41" s="809">
        <v>0</v>
      </c>
      <c r="F41" s="1597">
        <v>0</v>
      </c>
      <c r="G41" s="374" t="e">
        <v>#DIV/0!</v>
      </c>
      <c r="H41" s="1203"/>
      <c r="I41" s="374"/>
      <c r="J41" s="781">
        <v>0</v>
      </c>
      <c r="K41" s="809">
        <v>0</v>
      </c>
      <c r="L41" s="1583">
        <v>0</v>
      </c>
      <c r="M41" s="374" t="e">
        <v>#DIV/0!</v>
      </c>
      <c r="O41" s="631" t="s">
        <v>93</v>
      </c>
      <c r="P41" s="605">
        <v>160088</v>
      </c>
      <c r="R41" s="602"/>
      <c r="S41" s="624"/>
    </row>
    <row r="42" spans="1:20" ht="24.95" customHeight="1" x14ac:dyDescent="0.3">
      <c r="A42" s="398" t="s">
        <v>307</v>
      </c>
      <c r="B42" s="372">
        <v>0</v>
      </c>
      <c r="C42" s="374">
        <v>0</v>
      </c>
      <c r="D42" s="781">
        <v>0</v>
      </c>
      <c r="E42" s="809">
        <v>0</v>
      </c>
      <c r="F42" s="1597">
        <v>0</v>
      </c>
      <c r="G42" s="374" t="e">
        <v>#DIV/0!</v>
      </c>
      <c r="H42" s="372">
        <v>65000</v>
      </c>
      <c r="I42" s="374">
        <v>15250</v>
      </c>
      <c r="J42" s="781">
        <v>0</v>
      </c>
      <c r="K42" s="809">
        <v>15250</v>
      </c>
      <c r="L42" s="1583">
        <v>49750</v>
      </c>
      <c r="M42" s="374">
        <v>23.46153846153846</v>
      </c>
      <c r="N42" s="719"/>
      <c r="O42" s="632" t="s">
        <v>20</v>
      </c>
      <c r="P42" s="602">
        <v>14218</v>
      </c>
      <c r="R42" s="602"/>
      <c r="S42" s="624"/>
    </row>
    <row r="43" spans="1:20" ht="24.95" customHeight="1" x14ac:dyDescent="0.3">
      <c r="A43" s="398"/>
      <c r="B43" s="372"/>
      <c r="C43" s="374"/>
      <c r="D43" s="781"/>
      <c r="E43" s="809"/>
      <c r="F43" s="1597"/>
      <c r="G43" s="374"/>
      <c r="H43" s="372"/>
      <c r="I43" s="374"/>
      <c r="J43" s="781"/>
      <c r="K43" s="809"/>
      <c r="L43" s="1583"/>
      <c r="M43" s="618"/>
      <c r="O43" s="632" t="s">
        <v>5</v>
      </c>
      <c r="P43" s="602">
        <v>10698.36</v>
      </c>
      <c r="R43" s="602"/>
      <c r="S43" s="624"/>
      <c r="T43" s="626"/>
    </row>
    <row r="44" spans="1:20" ht="24.95" customHeight="1" x14ac:dyDescent="0.3">
      <c r="A44" s="387" t="s">
        <v>9</v>
      </c>
      <c r="B44" s="375">
        <v>277300</v>
      </c>
      <c r="C44" s="376">
        <v>29367.86</v>
      </c>
      <c r="D44" s="799">
        <v>680</v>
      </c>
      <c r="E44" s="811">
        <v>28687.86</v>
      </c>
      <c r="F44" s="1598">
        <v>247932.14</v>
      </c>
      <c r="G44" s="376">
        <v>10.345423728813559</v>
      </c>
      <c r="H44" s="375">
        <v>43750</v>
      </c>
      <c r="I44" s="376">
        <v>1175</v>
      </c>
      <c r="J44" s="799">
        <v>0</v>
      </c>
      <c r="K44" s="811">
        <v>1175</v>
      </c>
      <c r="L44" s="1584">
        <v>42575</v>
      </c>
      <c r="M44" s="376">
        <v>2.6857142857142855</v>
      </c>
      <c r="O44" s="632" t="s">
        <v>21</v>
      </c>
      <c r="P44" s="602">
        <v>6458.5</v>
      </c>
      <c r="R44" s="602"/>
      <c r="S44" s="624"/>
    </row>
    <row r="45" spans="1:20" ht="24.95" customHeight="1" x14ac:dyDescent="0.3">
      <c r="A45" s="398" t="s">
        <v>321</v>
      </c>
      <c r="B45" s="372">
        <v>267300</v>
      </c>
      <c r="C45" s="374">
        <v>25880</v>
      </c>
      <c r="D45" s="781">
        <v>0</v>
      </c>
      <c r="E45" s="809">
        <v>25880</v>
      </c>
      <c r="F45" s="1597">
        <v>241420</v>
      </c>
      <c r="G45" s="374">
        <v>9.6820052375607926</v>
      </c>
      <c r="H45" s="372">
        <v>40000</v>
      </c>
      <c r="I45" s="374">
        <v>300</v>
      </c>
      <c r="J45" s="781">
        <v>0</v>
      </c>
      <c r="K45" s="809">
        <v>300</v>
      </c>
      <c r="L45" s="1583">
        <v>39700</v>
      </c>
      <c r="M45" s="374">
        <v>0.75</v>
      </c>
      <c r="O45" s="633" t="s">
        <v>28</v>
      </c>
      <c r="P45" s="634">
        <v>547234.9</v>
      </c>
      <c r="R45" s="602"/>
      <c r="S45" s="624"/>
    </row>
    <row r="46" spans="1:20" ht="24.95" customHeight="1" x14ac:dyDescent="0.3">
      <c r="A46" s="398" t="s">
        <v>309</v>
      </c>
      <c r="B46" s="372"/>
      <c r="C46" s="374">
        <v>0</v>
      </c>
      <c r="D46" s="781">
        <v>0</v>
      </c>
      <c r="E46" s="809">
        <v>0</v>
      </c>
      <c r="F46" s="1597">
        <v>0</v>
      </c>
      <c r="G46" s="374" t="e">
        <v>#DIV/0!</v>
      </c>
      <c r="H46" s="372">
        <v>0</v>
      </c>
      <c r="I46" s="374">
        <v>0</v>
      </c>
      <c r="J46" s="781">
        <v>0</v>
      </c>
      <c r="K46" s="809">
        <v>0</v>
      </c>
      <c r="L46" s="1583">
        <v>0</v>
      </c>
      <c r="M46" s="374" t="e">
        <v>#DIV/0!</v>
      </c>
      <c r="O46" s="635" t="s">
        <v>94</v>
      </c>
      <c r="P46" s="634">
        <v>2953736.55</v>
      </c>
      <c r="R46" s="602"/>
      <c r="S46" s="624"/>
    </row>
    <row r="47" spans="1:20" ht="24.95" customHeight="1" x14ac:dyDescent="0.3">
      <c r="A47" s="398" t="s">
        <v>322</v>
      </c>
      <c r="B47" s="372"/>
      <c r="C47" s="374">
        <v>0</v>
      </c>
      <c r="D47" s="781">
        <v>0</v>
      </c>
      <c r="E47" s="809">
        <v>0</v>
      </c>
      <c r="F47" s="1597">
        <v>0</v>
      </c>
      <c r="G47" s="374" t="e">
        <v>#DIV/0!</v>
      </c>
      <c r="H47" s="372">
        <v>0</v>
      </c>
      <c r="I47" s="374">
        <v>0</v>
      </c>
      <c r="J47" s="781">
        <v>0</v>
      </c>
      <c r="K47" s="809">
        <v>0</v>
      </c>
      <c r="L47" s="1583">
        <v>0</v>
      </c>
      <c r="M47" s="374" t="e">
        <v>#DIV/0!</v>
      </c>
      <c r="O47" s="635" t="s">
        <v>25</v>
      </c>
      <c r="P47" s="634">
        <v>3500971.4499999997</v>
      </c>
      <c r="R47" s="602"/>
      <c r="S47" s="602"/>
    </row>
    <row r="48" spans="1:20" ht="24.95" customHeight="1" x14ac:dyDescent="0.3">
      <c r="A48" s="398" t="s">
        <v>323</v>
      </c>
      <c r="B48" s="372"/>
      <c r="C48" s="374">
        <v>0</v>
      </c>
      <c r="D48" s="781">
        <v>0</v>
      </c>
      <c r="E48" s="809">
        <v>0</v>
      </c>
      <c r="F48" s="1597">
        <v>0</v>
      </c>
      <c r="G48" s="374" t="e">
        <v>#DIV/0!</v>
      </c>
      <c r="H48" s="372">
        <v>0</v>
      </c>
      <c r="I48" s="374">
        <v>0</v>
      </c>
      <c r="J48" s="781">
        <v>0</v>
      </c>
      <c r="K48" s="809">
        <v>0</v>
      </c>
      <c r="L48" s="1583">
        <v>0</v>
      </c>
      <c r="M48" s="374" t="e">
        <v>#DIV/0!</v>
      </c>
      <c r="O48" s="636"/>
      <c r="P48" s="624"/>
      <c r="R48" s="602" t="s">
        <v>102</v>
      </c>
      <c r="S48" s="602"/>
      <c r="T48" s="626"/>
    </row>
    <row r="49" spans="1:19" ht="24.95" customHeight="1" x14ac:dyDescent="0.3">
      <c r="A49" s="398" t="s">
        <v>324</v>
      </c>
      <c r="B49" s="372"/>
      <c r="C49" s="374">
        <v>2420</v>
      </c>
      <c r="D49" s="781">
        <v>680</v>
      </c>
      <c r="E49" s="809">
        <v>1740</v>
      </c>
      <c r="F49" s="1597">
        <v>-2420</v>
      </c>
      <c r="G49" s="374" t="e">
        <v>#DIV/0!</v>
      </c>
      <c r="H49" s="372"/>
      <c r="I49" s="374">
        <v>0</v>
      </c>
      <c r="J49" s="781">
        <v>0</v>
      </c>
      <c r="K49" s="809">
        <v>0</v>
      </c>
      <c r="L49" s="1583">
        <v>0</v>
      </c>
      <c r="M49" s="374" t="e">
        <v>#DIV/0!</v>
      </c>
      <c r="O49" s="636"/>
      <c r="P49" s="624"/>
      <c r="R49" s="602"/>
      <c r="S49" s="602"/>
    </row>
    <row r="50" spans="1:19" ht="24.95" customHeight="1" x14ac:dyDescent="0.3">
      <c r="A50" s="398" t="s">
        <v>313</v>
      </c>
      <c r="B50" s="372"/>
      <c r="C50" s="374">
        <v>0</v>
      </c>
      <c r="D50" s="781">
        <v>0</v>
      </c>
      <c r="E50" s="809">
        <v>0</v>
      </c>
      <c r="F50" s="1597">
        <v>0</v>
      </c>
      <c r="G50" s="374" t="e">
        <v>#DIV/0!</v>
      </c>
      <c r="H50" s="372">
        <v>0</v>
      </c>
      <c r="I50" s="374">
        <v>0</v>
      </c>
      <c r="J50" s="781">
        <v>0</v>
      </c>
      <c r="K50" s="809">
        <v>0</v>
      </c>
      <c r="L50" s="1583">
        <v>0</v>
      </c>
      <c r="M50" s="374" t="e">
        <v>#DIV/0!</v>
      </c>
      <c r="O50" s="637"/>
      <c r="P50" s="624"/>
      <c r="R50" s="602"/>
      <c r="S50" s="602"/>
    </row>
    <row r="51" spans="1:19" ht="24.95" customHeight="1" x14ac:dyDescent="0.3">
      <c r="A51" s="398" t="s">
        <v>325</v>
      </c>
      <c r="B51" s="372"/>
      <c r="C51" s="374">
        <v>0</v>
      </c>
      <c r="D51" s="781">
        <v>0</v>
      </c>
      <c r="E51" s="809">
        <v>0</v>
      </c>
      <c r="F51" s="1597">
        <v>0</v>
      </c>
      <c r="G51" s="374" t="e">
        <v>#DIV/0!</v>
      </c>
      <c r="H51" s="372">
        <v>0</v>
      </c>
      <c r="I51" s="374">
        <v>0</v>
      </c>
      <c r="J51" s="781">
        <v>0</v>
      </c>
      <c r="K51" s="809">
        <v>0</v>
      </c>
      <c r="L51" s="1583">
        <v>0</v>
      </c>
      <c r="M51" s="374" t="e">
        <v>#DIV/0!</v>
      </c>
      <c r="O51" s="638"/>
      <c r="P51" s="624"/>
      <c r="R51" s="602"/>
      <c r="S51" s="602"/>
    </row>
    <row r="52" spans="1:19" ht="24.95" customHeight="1" x14ac:dyDescent="0.3">
      <c r="A52" s="398" t="s">
        <v>326</v>
      </c>
      <c r="B52" s="372"/>
      <c r="C52" s="374">
        <v>0</v>
      </c>
      <c r="D52" s="781">
        <v>0</v>
      </c>
      <c r="E52" s="809">
        <v>0</v>
      </c>
      <c r="F52" s="1597">
        <v>0</v>
      </c>
      <c r="G52" s="374" t="e">
        <v>#DIV/0!</v>
      </c>
      <c r="H52" s="372">
        <v>3750</v>
      </c>
      <c r="I52" s="374">
        <v>875</v>
      </c>
      <c r="J52" s="781">
        <v>0</v>
      </c>
      <c r="K52" s="809">
        <v>875</v>
      </c>
      <c r="L52" s="1583">
        <v>2875</v>
      </c>
      <c r="M52" s="374">
        <v>23.333333333333332</v>
      </c>
      <c r="R52" s="602"/>
      <c r="S52" s="602"/>
    </row>
    <row r="53" spans="1:19" ht="24.95" customHeight="1" x14ac:dyDescent="0.3">
      <c r="A53" s="372" t="s">
        <v>390</v>
      </c>
      <c r="B53" s="372">
        <v>10000</v>
      </c>
      <c r="C53" s="374">
        <v>1067.8599999999999</v>
      </c>
      <c r="D53" s="781">
        <v>0</v>
      </c>
      <c r="E53" s="809">
        <v>1067.8599999999999</v>
      </c>
      <c r="F53" s="1597">
        <v>8932.14</v>
      </c>
      <c r="G53" s="374"/>
      <c r="H53" s="372"/>
      <c r="I53" s="374">
        <v>0</v>
      </c>
      <c r="J53" s="781">
        <v>0</v>
      </c>
      <c r="K53" s="809">
        <v>0</v>
      </c>
      <c r="L53" s="1583">
        <v>0</v>
      </c>
      <c r="M53" s="374" t="e">
        <v>#DIV/0!</v>
      </c>
      <c r="R53" s="602"/>
      <c r="S53" s="602"/>
    </row>
    <row r="54" spans="1:19" ht="24.95" customHeight="1" x14ac:dyDescent="0.3">
      <c r="A54" s="526" t="s">
        <v>12</v>
      </c>
      <c r="B54" s="375">
        <v>104400</v>
      </c>
      <c r="C54" s="376">
        <v>0</v>
      </c>
      <c r="D54" s="799">
        <v>0</v>
      </c>
      <c r="E54" s="811">
        <v>0</v>
      </c>
      <c r="F54" s="1598">
        <v>104400</v>
      </c>
      <c r="G54" s="619">
        <v>0</v>
      </c>
      <c r="H54" s="375">
        <v>27000</v>
      </c>
      <c r="I54" s="376">
        <v>840</v>
      </c>
      <c r="J54" s="799">
        <v>0</v>
      </c>
      <c r="K54" s="811">
        <v>840</v>
      </c>
      <c r="L54" s="1584">
        <v>26160</v>
      </c>
      <c r="M54" s="619">
        <v>3.1111111111111112</v>
      </c>
      <c r="R54" s="602"/>
      <c r="S54" s="602"/>
    </row>
    <row r="55" spans="1:19" ht="24.95" customHeight="1" x14ac:dyDescent="0.3">
      <c r="A55" s="372" t="s">
        <v>391</v>
      </c>
      <c r="B55" s="1425">
        <v>14400</v>
      </c>
      <c r="C55" s="374">
        <v>0</v>
      </c>
      <c r="D55" s="781">
        <v>0</v>
      </c>
      <c r="E55" s="809">
        <v>0</v>
      </c>
      <c r="F55" s="1597">
        <v>14400</v>
      </c>
      <c r="G55" s="374">
        <v>0</v>
      </c>
      <c r="H55" s="372">
        <v>27000</v>
      </c>
      <c r="I55" s="374">
        <v>840</v>
      </c>
      <c r="J55" s="781">
        <v>0</v>
      </c>
      <c r="K55" s="809">
        <v>840</v>
      </c>
      <c r="L55" s="1583">
        <v>26160</v>
      </c>
      <c r="M55" s="374">
        <v>3.1111111111111112</v>
      </c>
      <c r="R55" s="602"/>
      <c r="S55" s="602"/>
    </row>
    <row r="56" spans="1:19" ht="24.95" customHeight="1" x14ac:dyDescent="0.3">
      <c r="A56" s="372" t="s">
        <v>392</v>
      </c>
      <c r="B56" s="372"/>
      <c r="C56" s="374">
        <v>0</v>
      </c>
      <c r="D56" s="781">
        <v>0</v>
      </c>
      <c r="E56" s="809">
        <v>0</v>
      </c>
      <c r="F56" s="1597">
        <v>0</v>
      </c>
      <c r="G56" s="374" t="e">
        <v>#DIV/0!</v>
      </c>
      <c r="H56" s="372"/>
      <c r="I56" s="374">
        <v>0</v>
      </c>
      <c r="J56" s="781">
        <v>0</v>
      </c>
      <c r="K56" s="809">
        <v>0</v>
      </c>
      <c r="L56" s="1583">
        <v>0</v>
      </c>
      <c r="M56" s="374" t="e">
        <v>#DIV/0!</v>
      </c>
      <c r="R56" s="602"/>
      <c r="S56" s="602"/>
    </row>
    <row r="57" spans="1:19" ht="24.95" customHeight="1" x14ac:dyDescent="0.3">
      <c r="A57" s="372" t="s">
        <v>393</v>
      </c>
      <c r="B57" s="372"/>
      <c r="C57" s="374">
        <v>0</v>
      </c>
      <c r="D57" s="781">
        <v>0</v>
      </c>
      <c r="E57" s="809">
        <v>0</v>
      </c>
      <c r="F57" s="1597">
        <v>0</v>
      </c>
      <c r="G57" s="374" t="e">
        <v>#DIV/0!</v>
      </c>
      <c r="H57" s="372"/>
      <c r="I57" s="374">
        <v>0</v>
      </c>
      <c r="J57" s="781">
        <v>0</v>
      </c>
      <c r="K57" s="809">
        <v>0</v>
      </c>
      <c r="L57" s="1583">
        <v>0</v>
      </c>
      <c r="M57" s="374" t="e">
        <v>#DIV/0!</v>
      </c>
      <c r="R57" s="602"/>
      <c r="S57" s="602"/>
    </row>
    <row r="58" spans="1:19" ht="24.95" customHeight="1" x14ac:dyDescent="0.3">
      <c r="A58" s="372" t="s">
        <v>394</v>
      </c>
      <c r="B58" s="372">
        <v>90000</v>
      </c>
      <c r="C58" s="374">
        <v>0</v>
      </c>
      <c r="D58" s="781">
        <v>0</v>
      </c>
      <c r="E58" s="809">
        <v>0</v>
      </c>
      <c r="F58" s="1597">
        <v>90000</v>
      </c>
      <c r="G58" s="374">
        <v>0</v>
      </c>
      <c r="H58" s="374"/>
      <c r="I58" s="374">
        <v>0</v>
      </c>
      <c r="J58" s="781">
        <v>0</v>
      </c>
      <c r="K58" s="809">
        <v>0</v>
      </c>
      <c r="L58" s="1583">
        <v>0</v>
      </c>
      <c r="M58" s="374" t="e">
        <v>#DIV/0!</v>
      </c>
      <c r="O58" s="719"/>
      <c r="R58" s="602"/>
      <c r="S58" s="602"/>
    </row>
    <row r="59" spans="1:19" ht="24.95" customHeight="1" x14ac:dyDescent="0.3">
      <c r="A59" s="412"/>
      <c r="B59" s="377"/>
      <c r="C59" s="619"/>
      <c r="D59" s="800"/>
      <c r="E59" s="811"/>
      <c r="F59" s="1599"/>
      <c r="G59" s="619"/>
      <c r="H59" s="377"/>
      <c r="I59" s="619"/>
      <c r="J59" s="800"/>
      <c r="K59" s="811"/>
      <c r="L59" s="1585"/>
      <c r="M59" s="620"/>
      <c r="R59" s="602"/>
      <c r="S59" s="602"/>
    </row>
    <row r="60" spans="1:19" ht="24.95" customHeight="1" x14ac:dyDescent="0.3">
      <c r="B60" s="339"/>
      <c r="D60" s="602"/>
      <c r="E60" s="602"/>
      <c r="H60" s="339"/>
      <c r="J60" s="602"/>
      <c r="K60" s="602"/>
      <c r="R60" s="602"/>
      <c r="S60" s="602"/>
    </row>
    <row r="61" spans="1:19" ht="24.95" customHeight="1" x14ac:dyDescent="0.3">
      <c r="B61" s="339"/>
      <c r="D61" s="602"/>
      <c r="E61" s="602"/>
      <c r="H61" s="339"/>
      <c r="J61" s="602"/>
      <c r="K61" s="602"/>
      <c r="R61" s="602"/>
      <c r="S61" s="602"/>
    </row>
    <row r="62" spans="1:19" ht="24.95" customHeight="1" x14ac:dyDescent="0.3">
      <c r="B62" s="339"/>
      <c r="D62" s="602"/>
      <c r="E62" s="602"/>
      <c r="H62" s="339"/>
      <c r="J62" s="602"/>
      <c r="K62" s="602"/>
      <c r="R62" s="602"/>
      <c r="S62" s="602"/>
    </row>
    <row r="63" spans="1:19" ht="24.95" customHeight="1" x14ac:dyDescent="0.3">
      <c r="B63" s="339"/>
      <c r="D63" s="602"/>
      <c r="E63" s="602"/>
      <c r="H63" s="339"/>
      <c r="J63" s="602"/>
      <c r="K63" s="602"/>
      <c r="R63" s="602"/>
      <c r="S63" s="602"/>
    </row>
    <row r="64" spans="1:19" ht="24.95" customHeight="1" x14ac:dyDescent="0.3">
      <c r="B64" s="2671" t="s">
        <v>935</v>
      </c>
      <c r="D64" s="602"/>
      <c r="E64" s="602"/>
      <c r="G64" s="2755" t="s">
        <v>936</v>
      </c>
      <c r="H64" s="2671" t="s">
        <v>935</v>
      </c>
      <c r="J64" s="602"/>
      <c r="K64" s="602"/>
      <c r="L64" s="1592"/>
      <c r="M64" s="2755" t="s">
        <v>936</v>
      </c>
      <c r="R64" s="602"/>
      <c r="S64" s="602"/>
    </row>
    <row r="65" spans="1:21" ht="24.95" customHeight="1" x14ac:dyDescent="0.3">
      <c r="B65" s="932"/>
      <c r="D65" s="602"/>
      <c r="E65" s="602"/>
      <c r="G65" s="2755"/>
      <c r="H65" s="932"/>
      <c r="J65" s="602"/>
      <c r="K65" s="602"/>
      <c r="M65" s="2755"/>
      <c r="O65" s="602"/>
      <c r="P65" s="639"/>
      <c r="Q65" s="639"/>
      <c r="R65" s="639"/>
      <c r="S65" s="640"/>
      <c r="T65" s="640"/>
    </row>
    <row r="66" spans="1:21" ht="24.95" customHeight="1" x14ac:dyDescent="0.3">
      <c r="A66" s="3497" t="s">
        <v>0</v>
      </c>
      <c r="B66" s="1265" t="s">
        <v>66</v>
      </c>
      <c r="C66" s="3500" t="s">
        <v>24</v>
      </c>
      <c r="D66" s="3501"/>
      <c r="E66" s="3501"/>
      <c r="F66" s="3501"/>
      <c r="G66" s="3502"/>
      <c r="H66" s="1265" t="s">
        <v>66</v>
      </c>
      <c r="I66" s="3500" t="s">
        <v>23</v>
      </c>
      <c r="J66" s="3501"/>
      <c r="K66" s="3501"/>
      <c r="L66" s="3501"/>
      <c r="M66" s="3502"/>
      <c r="O66" s="602"/>
      <c r="P66" s="641"/>
      <c r="Q66" s="641"/>
      <c r="R66" s="641"/>
      <c r="S66" s="815"/>
      <c r="T66" s="604"/>
    </row>
    <row r="67" spans="1:21" ht="24.95" customHeight="1" x14ac:dyDescent="0.3">
      <c r="A67" s="3498"/>
      <c r="B67" s="1424" t="s">
        <v>27</v>
      </c>
      <c r="C67" s="609" t="s">
        <v>28</v>
      </c>
      <c r="D67" s="795" t="s">
        <v>34</v>
      </c>
      <c r="E67" s="805" t="s">
        <v>62</v>
      </c>
      <c r="F67" s="1593" t="s">
        <v>16</v>
      </c>
      <c r="G67" s="609" t="s">
        <v>22</v>
      </c>
      <c r="H67" s="1424" t="s">
        <v>27</v>
      </c>
      <c r="I67" s="609" t="s">
        <v>28</v>
      </c>
      <c r="J67" s="795" t="s">
        <v>34</v>
      </c>
      <c r="K67" s="805" t="s">
        <v>62</v>
      </c>
      <c r="L67" s="1579" t="s">
        <v>16</v>
      </c>
      <c r="M67" s="609" t="s">
        <v>22</v>
      </c>
      <c r="O67" s="624"/>
      <c r="P67" s="642"/>
      <c r="Q67" s="642"/>
      <c r="R67" s="642"/>
      <c r="S67" s="642"/>
      <c r="T67" s="643"/>
      <c r="U67" s="639"/>
    </row>
    <row r="68" spans="1:21" ht="24.95" customHeight="1" x14ac:dyDescent="0.3">
      <c r="A68" s="3499"/>
      <c r="B68" s="1424" t="s">
        <v>942</v>
      </c>
      <c r="C68" s="2830">
        <v>499800</v>
      </c>
      <c r="D68" s="796"/>
      <c r="E68" s="806"/>
      <c r="F68" s="1594"/>
      <c r="G68" s="610" t="s">
        <v>63</v>
      </c>
      <c r="H68" s="1424" t="s">
        <v>942</v>
      </c>
      <c r="I68" s="2830">
        <v>622075</v>
      </c>
      <c r="J68" s="796"/>
      <c r="K68" s="806"/>
      <c r="L68" s="1580"/>
      <c r="M68" s="610" t="s">
        <v>63</v>
      </c>
      <c r="O68" s="624"/>
      <c r="P68" s="644"/>
      <c r="Q68" s="644"/>
      <c r="R68" s="644"/>
      <c r="S68" s="644"/>
      <c r="T68" s="644"/>
      <c r="U68" s="641"/>
    </row>
    <row r="69" spans="1:21" ht="24.95" customHeight="1" thickBot="1" x14ac:dyDescent="0.35">
      <c r="A69" s="611" t="s">
        <v>28</v>
      </c>
      <c r="B69" s="1422">
        <v>499800</v>
      </c>
      <c r="C69" s="368">
        <v>164680</v>
      </c>
      <c r="D69" s="797">
        <v>44240</v>
      </c>
      <c r="E69" s="807">
        <v>120440</v>
      </c>
      <c r="F69" s="1595">
        <v>335120</v>
      </c>
      <c r="G69" s="368">
        <v>24.097639055622249</v>
      </c>
      <c r="H69" s="1422">
        <v>622075</v>
      </c>
      <c r="I69" s="368">
        <v>160088</v>
      </c>
      <c r="J69" s="797">
        <v>0</v>
      </c>
      <c r="K69" s="807">
        <v>160088</v>
      </c>
      <c r="L69" s="1581">
        <v>461987</v>
      </c>
      <c r="M69" s="612">
        <v>25.734517542097013</v>
      </c>
      <c r="O69" s="623"/>
      <c r="P69" s="645"/>
      <c r="Q69" s="624"/>
      <c r="R69" s="629"/>
      <c r="S69" s="629"/>
      <c r="T69" s="629"/>
      <c r="U69" s="628"/>
    </row>
    <row r="70" spans="1:21" ht="24.95" customHeight="1" thickTop="1" x14ac:dyDescent="0.3">
      <c r="A70" s="409" t="s">
        <v>7</v>
      </c>
      <c r="B70" s="369">
        <v>103300</v>
      </c>
      <c r="C70" s="613">
        <v>66300</v>
      </c>
      <c r="D70" s="798">
        <v>0</v>
      </c>
      <c r="E70" s="995">
        <v>66300</v>
      </c>
      <c r="F70" s="1596">
        <v>37000</v>
      </c>
      <c r="G70" s="613">
        <v>64.181994191674733</v>
      </c>
      <c r="H70" s="370">
        <v>337100</v>
      </c>
      <c r="I70" s="613">
        <v>124080</v>
      </c>
      <c r="J70" s="798">
        <v>0</v>
      </c>
      <c r="K70" s="808">
        <v>124080</v>
      </c>
      <c r="L70" s="1582">
        <v>213020</v>
      </c>
      <c r="M70" s="613">
        <v>36.808068822307924</v>
      </c>
      <c r="O70" s="646">
        <v>0</v>
      </c>
      <c r="P70" s="645"/>
      <c r="Q70" s="624"/>
      <c r="R70" s="624"/>
      <c r="S70" s="624"/>
      <c r="T70" s="624"/>
      <c r="U70" s="602"/>
    </row>
    <row r="71" spans="1:21" ht="24.95" customHeight="1" x14ac:dyDescent="0.3">
      <c r="A71" s="398" t="s">
        <v>8</v>
      </c>
      <c r="B71" s="1203">
        <v>25000</v>
      </c>
      <c r="C71" s="374">
        <v>0</v>
      </c>
      <c r="D71" s="781">
        <v>0</v>
      </c>
      <c r="E71" s="809">
        <v>0</v>
      </c>
      <c r="F71" s="1597">
        <v>25000</v>
      </c>
      <c r="G71" s="374">
        <v>0</v>
      </c>
      <c r="H71" s="1203">
        <v>20000</v>
      </c>
      <c r="I71" s="374">
        <v>1680</v>
      </c>
      <c r="J71" s="781">
        <v>0</v>
      </c>
      <c r="K71" s="809">
        <v>1680</v>
      </c>
      <c r="L71" s="1583">
        <v>18320</v>
      </c>
      <c r="M71" s="374">
        <v>8.4</v>
      </c>
      <c r="O71" s="623"/>
      <c r="P71" s="645"/>
      <c r="Q71" s="629"/>
      <c r="R71" s="629"/>
      <c r="S71" s="629"/>
      <c r="T71" s="629"/>
      <c r="U71" s="628"/>
    </row>
    <row r="72" spans="1:21" ht="24.95" customHeight="1" x14ac:dyDescent="0.3">
      <c r="A72" s="398" t="s">
        <v>306</v>
      </c>
      <c r="B72" s="372">
        <v>78300</v>
      </c>
      <c r="C72" s="374">
        <v>66300</v>
      </c>
      <c r="D72" s="781">
        <v>0</v>
      </c>
      <c r="E72" s="809">
        <v>66300</v>
      </c>
      <c r="F72" s="1597">
        <v>12000</v>
      </c>
      <c r="G72" s="374">
        <v>84.674329501915707</v>
      </c>
      <c r="H72" s="372">
        <v>317100</v>
      </c>
      <c r="I72" s="374">
        <v>122400</v>
      </c>
      <c r="J72" s="781">
        <v>0</v>
      </c>
      <c r="K72" s="809">
        <v>122400</v>
      </c>
      <c r="L72" s="1583">
        <v>194700</v>
      </c>
      <c r="M72" s="374">
        <v>38.599810785241246</v>
      </c>
      <c r="O72" s="623"/>
      <c r="P72" s="645"/>
      <c r="Q72" s="624"/>
      <c r="R72" s="624"/>
      <c r="S72" s="624"/>
      <c r="T72" s="624"/>
      <c r="U72" s="602"/>
    </row>
    <row r="73" spans="1:21" ht="24.95" customHeight="1" x14ac:dyDescent="0.3">
      <c r="A73" s="398"/>
      <c r="B73" s="372"/>
      <c r="C73" s="374"/>
      <c r="D73" s="781"/>
      <c r="E73" s="809"/>
      <c r="F73" s="1597"/>
      <c r="G73" s="374"/>
      <c r="H73" s="372"/>
      <c r="I73" s="374"/>
      <c r="J73" s="781"/>
      <c r="K73" s="809"/>
      <c r="L73" s="1583"/>
      <c r="M73" s="618"/>
      <c r="O73" s="647"/>
      <c r="P73" s="645"/>
      <c r="Q73" s="624"/>
      <c r="R73" s="624"/>
      <c r="S73" s="624"/>
      <c r="T73" s="624"/>
      <c r="U73" s="602"/>
    </row>
    <row r="74" spans="1:21" ht="24.95" customHeight="1" x14ac:dyDescent="0.3">
      <c r="A74" s="387" t="s">
        <v>9</v>
      </c>
      <c r="B74" s="375">
        <v>196500</v>
      </c>
      <c r="C74" s="376">
        <v>98380</v>
      </c>
      <c r="D74" s="799">
        <v>44240</v>
      </c>
      <c r="E74" s="811">
        <v>54140</v>
      </c>
      <c r="F74" s="1598">
        <v>98120</v>
      </c>
      <c r="G74" s="376">
        <v>27.552162849872772</v>
      </c>
      <c r="H74" s="375">
        <v>164975</v>
      </c>
      <c r="I74" s="376">
        <v>0</v>
      </c>
      <c r="J74" s="799">
        <v>0</v>
      </c>
      <c r="K74" s="810">
        <v>36008</v>
      </c>
      <c r="L74" s="1584">
        <v>164975</v>
      </c>
      <c r="M74" s="376">
        <v>21.826337323836945</v>
      </c>
      <c r="O74" s="648"/>
      <c r="P74" s="645"/>
      <c r="Q74" s="624"/>
      <c r="R74" s="624"/>
      <c r="S74" s="624"/>
      <c r="T74" s="624"/>
      <c r="U74" s="602"/>
    </row>
    <row r="75" spans="1:21" ht="24.95" customHeight="1" x14ac:dyDescent="0.3">
      <c r="A75" s="398" t="s">
        <v>321</v>
      </c>
      <c r="B75" s="372">
        <v>150000</v>
      </c>
      <c r="C75" s="374">
        <v>96880</v>
      </c>
      <c r="D75" s="781">
        <v>44240</v>
      </c>
      <c r="E75" s="809">
        <v>52640</v>
      </c>
      <c r="F75" s="1597">
        <v>53120</v>
      </c>
      <c r="G75" s="374">
        <v>35.093333333333334</v>
      </c>
      <c r="H75" s="372">
        <v>64400</v>
      </c>
      <c r="I75" s="374"/>
      <c r="J75" s="781">
        <v>0</v>
      </c>
      <c r="K75" s="809">
        <v>0</v>
      </c>
      <c r="L75" s="1583">
        <v>64400</v>
      </c>
      <c r="M75" s="374">
        <v>0</v>
      </c>
      <c r="O75" s="648"/>
      <c r="P75" s="645"/>
      <c r="Q75" s="624"/>
      <c r="R75" s="624"/>
      <c r="S75" s="624"/>
      <c r="T75" s="624"/>
      <c r="U75" s="602"/>
    </row>
    <row r="76" spans="1:21" ht="24.95" customHeight="1" x14ac:dyDescent="0.3">
      <c r="A76" s="398" t="s">
        <v>309</v>
      </c>
      <c r="B76" s="1425"/>
      <c r="C76" s="374">
        <v>0</v>
      </c>
      <c r="D76" s="781">
        <v>0</v>
      </c>
      <c r="E76" s="809">
        <v>0</v>
      </c>
      <c r="F76" s="1597">
        <v>0</v>
      </c>
      <c r="G76" s="374" t="e">
        <v>#DIV/0!</v>
      </c>
      <c r="H76" s="372"/>
      <c r="I76" s="374"/>
      <c r="J76" s="781">
        <v>0</v>
      </c>
      <c r="K76" s="809">
        <v>0</v>
      </c>
      <c r="L76" s="1583">
        <v>0</v>
      </c>
      <c r="M76" s="374" t="e">
        <v>#DIV/0!</v>
      </c>
      <c r="O76" s="648"/>
      <c r="P76" s="645"/>
      <c r="Q76" s="624"/>
      <c r="R76" s="624"/>
      <c r="S76" s="624"/>
      <c r="T76" s="624"/>
      <c r="U76" s="602"/>
    </row>
    <row r="77" spans="1:21" ht="24.95" customHeight="1" x14ac:dyDescent="0.3">
      <c r="A77" s="398" t="s">
        <v>322</v>
      </c>
      <c r="B77" s="1425"/>
      <c r="C77" s="374">
        <v>0</v>
      </c>
      <c r="D77" s="781">
        <v>0</v>
      </c>
      <c r="E77" s="809">
        <v>0</v>
      </c>
      <c r="F77" s="1597">
        <v>0</v>
      </c>
      <c r="G77" s="374" t="e">
        <v>#DIV/0!</v>
      </c>
      <c r="H77" s="374"/>
      <c r="I77" s="374"/>
      <c r="J77" s="794">
        <v>0</v>
      </c>
      <c r="K77" s="809">
        <v>0</v>
      </c>
      <c r="L77" s="1583">
        <v>0</v>
      </c>
      <c r="M77" s="374" t="e">
        <v>#DIV/0!</v>
      </c>
      <c r="O77" s="648"/>
      <c r="P77" s="645"/>
      <c r="Q77" s="624"/>
      <c r="R77" s="624"/>
      <c r="S77" s="624"/>
      <c r="T77" s="624"/>
      <c r="U77" s="602"/>
    </row>
    <row r="78" spans="1:21" ht="24.95" customHeight="1" x14ac:dyDescent="0.3">
      <c r="A78" s="398" t="s">
        <v>323</v>
      </c>
      <c r="B78" s="372">
        <v>30000</v>
      </c>
      <c r="C78" s="374">
        <v>0</v>
      </c>
      <c r="D78" s="781">
        <v>0</v>
      </c>
      <c r="E78" s="809">
        <v>0</v>
      </c>
      <c r="F78" s="1597">
        <v>30000</v>
      </c>
      <c r="G78" s="374">
        <v>0</v>
      </c>
      <c r="H78" s="372"/>
      <c r="I78" s="374"/>
      <c r="J78" s="781">
        <v>0</v>
      </c>
      <c r="K78" s="809">
        <v>0</v>
      </c>
      <c r="L78" s="1583">
        <v>0</v>
      </c>
      <c r="M78" s="374" t="e">
        <v>#DIV/0!</v>
      </c>
      <c r="P78" s="624"/>
      <c r="Q78" s="624"/>
      <c r="R78" s="624"/>
      <c r="S78" s="624"/>
      <c r="T78" s="624"/>
    </row>
    <row r="79" spans="1:21" ht="24.95" customHeight="1" x14ac:dyDescent="0.3">
      <c r="A79" s="398" t="s">
        <v>324</v>
      </c>
      <c r="B79" s="372"/>
      <c r="C79" s="374">
        <v>1500</v>
      </c>
      <c r="D79" s="781">
        <v>0</v>
      </c>
      <c r="E79" s="809">
        <v>1500</v>
      </c>
      <c r="F79" s="1597">
        <v>-1500</v>
      </c>
      <c r="G79" s="374" t="e">
        <v>#DIV/0!</v>
      </c>
      <c r="H79" s="372"/>
      <c r="I79" s="374"/>
      <c r="J79" s="781">
        <v>0</v>
      </c>
      <c r="K79" s="809">
        <v>34240</v>
      </c>
      <c r="L79" s="1583">
        <v>0</v>
      </c>
      <c r="M79" s="374" t="e">
        <v>#DIV/0!</v>
      </c>
      <c r="P79" s="624"/>
      <c r="Q79" s="624"/>
      <c r="R79" s="624"/>
      <c r="S79" s="624"/>
      <c r="T79" s="624"/>
    </row>
    <row r="80" spans="1:21" ht="24.95" customHeight="1" x14ac:dyDescent="0.3">
      <c r="A80" s="398" t="s">
        <v>313</v>
      </c>
      <c r="B80" s="372"/>
      <c r="C80" s="374">
        <v>0</v>
      </c>
      <c r="D80" s="781">
        <v>0</v>
      </c>
      <c r="E80" s="809">
        <v>0</v>
      </c>
      <c r="F80" s="1597">
        <v>0</v>
      </c>
      <c r="G80" s="374" t="e">
        <v>#DIV/0!</v>
      </c>
      <c r="H80" s="372"/>
      <c r="I80" s="374"/>
      <c r="J80" s="781">
        <v>0</v>
      </c>
      <c r="K80" s="809">
        <v>0</v>
      </c>
      <c r="L80" s="1583">
        <v>0</v>
      </c>
      <c r="M80" s="374" t="e">
        <v>#DIV/0!</v>
      </c>
      <c r="R80" s="602"/>
      <c r="S80" s="602"/>
    </row>
    <row r="81" spans="1:19" ht="24.95" customHeight="1" x14ac:dyDescent="0.3">
      <c r="A81" s="398" t="s">
        <v>325</v>
      </c>
      <c r="B81" s="372"/>
      <c r="C81" s="374"/>
      <c r="D81" s="781">
        <v>0</v>
      </c>
      <c r="E81" s="809">
        <v>0</v>
      </c>
      <c r="F81" s="1597">
        <v>0</v>
      </c>
      <c r="G81" s="374" t="e">
        <v>#DIV/0!</v>
      </c>
      <c r="H81" s="372">
        <v>40000</v>
      </c>
      <c r="I81" s="374"/>
      <c r="J81" s="781">
        <v>0</v>
      </c>
      <c r="K81" s="809">
        <v>0</v>
      </c>
      <c r="L81" s="1583">
        <v>40000</v>
      </c>
      <c r="M81" s="374">
        <v>0</v>
      </c>
      <c r="R81" s="602"/>
      <c r="S81" s="602"/>
    </row>
    <row r="82" spans="1:19" ht="24.95" customHeight="1" x14ac:dyDescent="0.3">
      <c r="A82" s="398" t="s">
        <v>326</v>
      </c>
      <c r="B82" s="372">
        <v>16500</v>
      </c>
      <c r="C82" s="374">
        <v>0</v>
      </c>
      <c r="D82" s="781">
        <v>0</v>
      </c>
      <c r="E82" s="809">
        <v>0</v>
      </c>
      <c r="F82" s="1597">
        <v>16500</v>
      </c>
      <c r="G82" s="374">
        <v>0</v>
      </c>
      <c r="H82" s="372">
        <v>60575</v>
      </c>
      <c r="I82" s="374"/>
      <c r="J82" s="781">
        <v>0</v>
      </c>
      <c r="K82" s="809">
        <v>1768</v>
      </c>
      <c r="L82" s="1583">
        <v>60575</v>
      </c>
      <c r="M82" s="374">
        <v>2.9186958316137019</v>
      </c>
      <c r="R82" s="602"/>
      <c r="S82" s="602"/>
    </row>
    <row r="83" spans="1:19" ht="24.95" customHeight="1" x14ac:dyDescent="0.3">
      <c r="A83" s="372" t="s">
        <v>390</v>
      </c>
      <c r="B83" s="372"/>
      <c r="C83" s="374"/>
      <c r="D83" s="781">
        <v>0</v>
      </c>
      <c r="E83" s="809">
        <v>0</v>
      </c>
      <c r="F83" s="1597"/>
      <c r="G83" s="374" t="e">
        <v>#DIV/0!</v>
      </c>
      <c r="H83" s="372"/>
      <c r="I83" s="374"/>
      <c r="J83" s="781">
        <v>0</v>
      </c>
      <c r="K83" s="809">
        <v>0</v>
      </c>
      <c r="L83" s="1583"/>
      <c r="M83" s="374" t="e">
        <v>#DIV/0!</v>
      </c>
      <c r="R83" s="602"/>
      <c r="S83" s="602"/>
    </row>
    <row r="84" spans="1:19" ht="24.95" customHeight="1" x14ac:dyDescent="0.3">
      <c r="A84" s="526" t="s">
        <v>12</v>
      </c>
      <c r="B84" s="375">
        <v>200000</v>
      </c>
      <c r="C84" s="376">
        <v>0</v>
      </c>
      <c r="D84" s="799">
        <v>0</v>
      </c>
      <c r="E84" s="811">
        <v>0</v>
      </c>
      <c r="F84" s="1598">
        <v>200000</v>
      </c>
      <c r="G84" s="619">
        <v>0</v>
      </c>
      <c r="H84" s="375">
        <v>120000</v>
      </c>
      <c r="I84" s="376">
        <v>0</v>
      </c>
      <c r="J84" s="799">
        <v>0</v>
      </c>
      <c r="K84" s="810">
        <v>0</v>
      </c>
      <c r="L84" s="1584">
        <v>120000</v>
      </c>
      <c r="M84" s="619">
        <v>0</v>
      </c>
      <c r="R84" s="602"/>
      <c r="S84" s="602"/>
    </row>
    <row r="85" spans="1:19" ht="24.95" customHeight="1" x14ac:dyDescent="0.3">
      <c r="A85" s="372" t="s">
        <v>391</v>
      </c>
      <c r="B85" s="2833">
        <v>50000</v>
      </c>
      <c r="C85" s="374">
        <v>0</v>
      </c>
      <c r="D85" s="781">
        <v>0</v>
      </c>
      <c r="E85" s="809">
        <v>0</v>
      </c>
      <c r="F85" s="1597">
        <v>50000</v>
      </c>
      <c r="G85" s="374">
        <v>0</v>
      </c>
      <c r="H85" s="2833">
        <v>50000</v>
      </c>
      <c r="I85" s="374">
        <v>0</v>
      </c>
      <c r="J85" s="781">
        <v>0</v>
      </c>
      <c r="K85" s="809">
        <v>0</v>
      </c>
      <c r="L85" s="1583">
        <v>50000</v>
      </c>
      <c r="M85" s="374">
        <v>0</v>
      </c>
      <c r="R85" s="602"/>
      <c r="S85" s="602"/>
    </row>
    <row r="86" spans="1:19" ht="24.95" customHeight="1" x14ac:dyDescent="0.3">
      <c r="A86" s="372" t="s">
        <v>392</v>
      </c>
      <c r="B86" s="372"/>
      <c r="C86" s="374">
        <v>0</v>
      </c>
      <c r="D86" s="781">
        <v>0</v>
      </c>
      <c r="E86" s="809">
        <v>0</v>
      </c>
      <c r="F86" s="1597">
        <v>0</v>
      </c>
      <c r="G86" s="374" t="e">
        <v>#DIV/0!</v>
      </c>
      <c r="H86" s="372"/>
      <c r="I86" s="374">
        <v>0</v>
      </c>
      <c r="J86" s="781">
        <v>0</v>
      </c>
      <c r="K86" s="809">
        <v>0</v>
      </c>
      <c r="L86" s="1583">
        <v>0</v>
      </c>
      <c r="M86" s="374" t="e">
        <v>#DIV/0!</v>
      </c>
      <c r="R86" s="602"/>
      <c r="S86" s="602"/>
    </row>
    <row r="87" spans="1:19" ht="24.95" customHeight="1" x14ac:dyDescent="0.3">
      <c r="A87" s="372" t="s">
        <v>393</v>
      </c>
      <c r="B87" s="372"/>
      <c r="C87" s="374">
        <v>0</v>
      </c>
      <c r="D87" s="781">
        <v>0</v>
      </c>
      <c r="E87" s="809">
        <v>0</v>
      </c>
      <c r="F87" s="1597">
        <v>0</v>
      </c>
      <c r="G87" s="374" t="e">
        <v>#DIV/0!</v>
      </c>
      <c r="H87" s="372"/>
      <c r="I87" s="374">
        <v>0</v>
      </c>
      <c r="J87" s="781">
        <v>0</v>
      </c>
      <c r="K87" s="809">
        <v>0</v>
      </c>
      <c r="L87" s="1583">
        <v>0</v>
      </c>
      <c r="M87" s="374" t="e">
        <v>#DIV/0!</v>
      </c>
      <c r="R87" s="602"/>
      <c r="S87" s="602"/>
    </row>
    <row r="88" spans="1:19" ht="24.95" customHeight="1" x14ac:dyDescent="0.3">
      <c r="A88" s="372" t="s">
        <v>394</v>
      </c>
      <c r="B88" s="372">
        <v>150000</v>
      </c>
      <c r="C88" s="374">
        <v>0</v>
      </c>
      <c r="D88" s="781">
        <v>0</v>
      </c>
      <c r="E88" s="809">
        <v>0</v>
      </c>
      <c r="F88" s="1597">
        <v>150000</v>
      </c>
      <c r="G88" s="374">
        <v>0</v>
      </c>
      <c r="H88" s="2833">
        <v>70000</v>
      </c>
      <c r="I88" s="374">
        <v>0</v>
      </c>
      <c r="J88" s="781">
        <v>0</v>
      </c>
      <c r="K88" s="809">
        <v>0</v>
      </c>
      <c r="L88" s="1583">
        <v>70000</v>
      </c>
      <c r="M88" s="374">
        <v>0</v>
      </c>
      <c r="R88" s="602"/>
      <c r="S88" s="602"/>
    </row>
    <row r="89" spans="1:19" ht="24.95" customHeight="1" x14ac:dyDescent="0.3">
      <c r="A89" s="412"/>
      <c r="B89" s="377"/>
      <c r="C89" s="619"/>
      <c r="D89" s="800"/>
      <c r="E89" s="811"/>
      <c r="F89" s="1599"/>
      <c r="G89" s="619"/>
      <c r="H89" s="377"/>
      <c r="I89" s="619"/>
      <c r="J89" s="800"/>
      <c r="K89" s="811"/>
      <c r="L89" s="1585"/>
      <c r="M89" s="620"/>
      <c r="R89" s="602"/>
      <c r="S89" s="602"/>
    </row>
    <row r="90" spans="1:19" ht="24.95" customHeight="1" x14ac:dyDescent="0.3">
      <c r="B90" s="339"/>
      <c r="D90" s="602"/>
      <c r="E90" s="602"/>
      <c r="H90" s="339"/>
      <c r="J90" s="602"/>
      <c r="K90" s="602"/>
      <c r="R90" s="602"/>
      <c r="S90" s="602"/>
    </row>
    <row r="91" spans="1:19" ht="24.95" customHeight="1" x14ac:dyDescent="0.3">
      <c r="B91" s="339"/>
      <c r="D91" s="602"/>
      <c r="E91" s="602"/>
      <c r="H91" s="339"/>
      <c r="J91" s="602"/>
      <c r="K91" s="602"/>
      <c r="R91" s="602"/>
      <c r="S91" s="602"/>
    </row>
    <row r="92" spans="1:19" ht="24.95" customHeight="1" x14ac:dyDescent="0.3">
      <c r="B92" s="339"/>
      <c r="D92" s="602"/>
      <c r="E92" s="602"/>
      <c r="H92" s="339"/>
      <c r="J92" s="602"/>
      <c r="K92" s="602"/>
      <c r="R92" s="602"/>
      <c r="S92" s="602"/>
    </row>
    <row r="93" spans="1:19" ht="24.95" customHeight="1" x14ac:dyDescent="0.3">
      <c r="B93" s="339"/>
      <c r="D93" s="602"/>
      <c r="E93" s="602"/>
      <c r="H93" s="339"/>
      <c r="J93" s="602"/>
      <c r="K93" s="602"/>
      <c r="R93" s="602"/>
      <c r="S93" s="602"/>
    </row>
    <row r="94" spans="1:19" ht="24.95" customHeight="1" x14ac:dyDescent="0.3">
      <c r="B94" s="2671" t="s">
        <v>935</v>
      </c>
      <c r="D94" s="602"/>
      <c r="E94" s="602"/>
      <c r="G94" s="2755" t="s">
        <v>936</v>
      </c>
      <c r="H94" s="2671" t="s">
        <v>935</v>
      </c>
      <c r="J94" s="602"/>
      <c r="K94" s="602"/>
      <c r="L94" s="1592"/>
      <c r="M94" s="2755" t="s">
        <v>936</v>
      </c>
      <c r="R94" s="602"/>
      <c r="S94" s="602"/>
    </row>
    <row r="95" spans="1:19" ht="24.95" customHeight="1" x14ac:dyDescent="0.3">
      <c r="B95" s="932"/>
      <c r="D95" s="602"/>
      <c r="E95" s="602"/>
      <c r="G95" s="2755"/>
      <c r="H95" s="932"/>
      <c r="J95" s="602"/>
      <c r="K95" s="602"/>
      <c r="M95" s="2755"/>
      <c r="R95" s="602"/>
      <c r="S95" s="602"/>
    </row>
    <row r="96" spans="1:19" ht="24.95" customHeight="1" x14ac:dyDescent="0.3">
      <c r="A96" s="3497" t="s">
        <v>0</v>
      </c>
      <c r="B96" s="1265" t="s">
        <v>66</v>
      </c>
      <c r="C96" s="3500" t="s">
        <v>4</v>
      </c>
      <c r="D96" s="3501"/>
      <c r="E96" s="3501"/>
      <c r="F96" s="3501"/>
      <c r="G96" s="3502"/>
      <c r="H96" s="1265" t="s">
        <v>66</v>
      </c>
      <c r="I96" s="3500" t="s">
        <v>20</v>
      </c>
      <c r="J96" s="3501"/>
      <c r="K96" s="3501"/>
      <c r="L96" s="3501"/>
      <c r="M96" s="3502"/>
      <c r="R96" s="602"/>
      <c r="S96" s="602"/>
    </row>
    <row r="97" spans="1:20" ht="24.95" customHeight="1" x14ac:dyDescent="0.3">
      <c r="A97" s="3498"/>
      <c r="B97" s="1424" t="s">
        <v>27</v>
      </c>
      <c r="C97" s="609" t="s">
        <v>28</v>
      </c>
      <c r="D97" s="795" t="s">
        <v>34</v>
      </c>
      <c r="E97" s="805" t="s">
        <v>62</v>
      </c>
      <c r="F97" s="1593" t="s">
        <v>16</v>
      </c>
      <c r="G97" s="609" t="s">
        <v>22</v>
      </c>
      <c r="H97" s="1424" t="s">
        <v>27</v>
      </c>
      <c r="I97" s="609" t="s">
        <v>28</v>
      </c>
      <c r="J97" s="795" t="s">
        <v>34</v>
      </c>
      <c r="K97" s="805" t="s">
        <v>62</v>
      </c>
      <c r="L97" s="1579" t="s">
        <v>16</v>
      </c>
      <c r="M97" s="609" t="s">
        <v>22</v>
      </c>
      <c r="R97" s="602"/>
      <c r="S97" s="602"/>
    </row>
    <row r="98" spans="1:20" ht="24.95" customHeight="1" x14ac:dyDescent="0.3">
      <c r="A98" s="3499"/>
      <c r="B98" s="1424" t="s">
        <v>942</v>
      </c>
      <c r="C98" s="3023">
        <v>213000</v>
      </c>
      <c r="D98" s="796"/>
      <c r="E98" s="806"/>
      <c r="F98" s="1594"/>
      <c r="G98" s="610" t="s">
        <v>63</v>
      </c>
      <c r="H98" s="1424" t="s">
        <v>942</v>
      </c>
      <c r="I98" s="2830">
        <v>221200</v>
      </c>
      <c r="J98" s="796"/>
      <c r="K98" s="806"/>
      <c r="L98" s="1580"/>
      <c r="M98" s="610" t="s">
        <v>63</v>
      </c>
      <c r="R98" s="602"/>
      <c r="S98" s="602"/>
    </row>
    <row r="99" spans="1:20" ht="24.95" customHeight="1" thickBot="1" x14ac:dyDescent="0.35">
      <c r="A99" s="611" t="s">
        <v>28</v>
      </c>
      <c r="B99" s="1422">
        <v>213000</v>
      </c>
      <c r="C99" s="649">
        <v>13240</v>
      </c>
      <c r="D99" s="797">
        <v>0</v>
      </c>
      <c r="E99" s="807">
        <v>13240</v>
      </c>
      <c r="F99" s="1595">
        <v>199760</v>
      </c>
      <c r="G99" s="368">
        <v>6.215962441314554</v>
      </c>
      <c r="H99" s="1422">
        <v>221200</v>
      </c>
      <c r="I99" s="649">
        <v>14218</v>
      </c>
      <c r="J99" s="797">
        <v>3820</v>
      </c>
      <c r="K99" s="807">
        <v>10398</v>
      </c>
      <c r="L99" s="1581">
        <v>206982</v>
      </c>
      <c r="M99" s="612">
        <v>4.7007233273056057</v>
      </c>
      <c r="P99" s="628"/>
      <c r="Q99" s="628"/>
      <c r="R99" s="628"/>
      <c r="S99" s="628"/>
      <c r="T99" s="628"/>
    </row>
    <row r="100" spans="1:20" ht="24.95" customHeight="1" thickTop="1" x14ac:dyDescent="0.3">
      <c r="A100" s="409" t="s">
        <v>7</v>
      </c>
      <c r="B100" s="369">
        <v>25000</v>
      </c>
      <c r="C100" s="613">
        <v>11400</v>
      </c>
      <c r="D100" s="798">
        <v>0</v>
      </c>
      <c r="E100" s="995">
        <v>11400</v>
      </c>
      <c r="F100" s="1596">
        <v>13600</v>
      </c>
      <c r="G100" s="613">
        <v>45.6</v>
      </c>
      <c r="H100" s="370">
        <v>61200</v>
      </c>
      <c r="I100" s="613">
        <v>10950</v>
      </c>
      <c r="J100" s="798">
        <v>3600</v>
      </c>
      <c r="K100" s="808">
        <v>7350</v>
      </c>
      <c r="L100" s="1582">
        <v>50250</v>
      </c>
      <c r="M100" s="613">
        <v>12.009803921568627</v>
      </c>
      <c r="O100" s="406">
        <v>0</v>
      </c>
      <c r="R100" s="602"/>
      <c r="S100" s="602"/>
    </row>
    <row r="101" spans="1:20" ht="24.95" customHeight="1" x14ac:dyDescent="0.3">
      <c r="A101" s="398" t="s">
        <v>8</v>
      </c>
      <c r="B101" s="1203">
        <v>25000</v>
      </c>
      <c r="C101" s="374">
        <v>0</v>
      </c>
      <c r="D101" s="781">
        <v>0</v>
      </c>
      <c r="E101" s="809">
        <v>0</v>
      </c>
      <c r="F101" s="1597">
        <v>25000</v>
      </c>
      <c r="G101" s="374">
        <v>0</v>
      </c>
      <c r="H101" s="372">
        <v>61200</v>
      </c>
      <c r="I101" s="374">
        <v>10950</v>
      </c>
      <c r="J101" s="781">
        <v>3600</v>
      </c>
      <c r="K101" s="809">
        <v>7350</v>
      </c>
      <c r="L101" s="1583">
        <v>50250</v>
      </c>
      <c r="M101" s="374">
        <v>12.009803921568627</v>
      </c>
      <c r="R101" s="602"/>
      <c r="S101" s="602"/>
    </row>
    <row r="102" spans="1:20" ht="24.95" customHeight="1" x14ac:dyDescent="0.3">
      <c r="A102" s="398" t="s">
        <v>306</v>
      </c>
      <c r="B102" s="372"/>
      <c r="C102" s="374">
        <v>11400</v>
      </c>
      <c r="D102" s="781">
        <v>0</v>
      </c>
      <c r="E102" s="809">
        <v>11400</v>
      </c>
      <c r="F102" s="1597">
        <v>-11400</v>
      </c>
      <c r="G102" s="374" t="e">
        <v>#DIV/0!</v>
      </c>
      <c r="H102" s="372">
        <v>0</v>
      </c>
      <c r="I102" s="374">
        <v>0</v>
      </c>
      <c r="J102" s="781">
        <v>0</v>
      </c>
      <c r="K102" s="809">
        <v>0</v>
      </c>
      <c r="L102" s="1583">
        <v>0</v>
      </c>
      <c r="M102" s="374" t="e">
        <v>#DIV/0!</v>
      </c>
      <c r="R102" s="602"/>
      <c r="S102" s="602"/>
    </row>
    <row r="103" spans="1:20" ht="24.95" customHeight="1" x14ac:dyDescent="0.3">
      <c r="A103" s="398"/>
      <c r="B103" s="372"/>
      <c r="C103" s="374"/>
      <c r="D103" s="781"/>
      <c r="E103" s="809"/>
      <c r="F103" s="1597"/>
      <c r="G103" s="374"/>
      <c r="H103" s="372"/>
      <c r="I103" s="374"/>
      <c r="J103" s="781"/>
      <c r="K103" s="809"/>
      <c r="L103" s="1583"/>
      <c r="M103" s="618"/>
      <c r="R103" s="602"/>
      <c r="S103" s="602"/>
    </row>
    <row r="104" spans="1:20" ht="24.95" customHeight="1" x14ac:dyDescent="0.3">
      <c r="A104" s="387" t="s">
        <v>9</v>
      </c>
      <c r="B104" s="375">
        <v>48000</v>
      </c>
      <c r="C104" s="376">
        <v>1840</v>
      </c>
      <c r="D104" s="799">
        <v>0</v>
      </c>
      <c r="E104" s="810">
        <v>1840</v>
      </c>
      <c r="F104" s="1598">
        <v>46160</v>
      </c>
      <c r="G104" s="619">
        <v>3.8333333333333335</v>
      </c>
      <c r="H104" s="375">
        <v>90000</v>
      </c>
      <c r="I104" s="376">
        <v>3268</v>
      </c>
      <c r="J104" s="799">
        <v>220</v>
      </c>
      <c r="K104" s="810">
        <v>3048</v>
      </c>
      <c r="L104" s="1584">
        <v>86732</v>
      </c>
      <c r="M104" s="619">
        <v>3.3866666666666667</v>
      </c>
      <c r="O104" s="406"/>
      <c r="R104" s="602"/>
      <c r="S104" s="602"/>
    </row>
    <row r="105" spans="1:20" ht="24.95" customHeight="1" x14ac:dyDescent="0.3">
      <c r="A105" s="398" t="s">
        <v>321</v>
      </c>
      <c r="B105" s="372"/>
      <c r="C105" s="374">
        <v>300</v>
      </c>
      <c r="D105" s="781">
        <v>0</v>
      </c>
      <c r="E105" s="809">
        <v>300</v>
      </c>
      <c r="F105" s="1597">
        <v>-300</v>
      </c>
      <c r="G105" s="374" t="e">
        <v>#DIV/0!</v>
      </c>
      <c r="H105" s="372">
        <v>90000</v>
      </c>
      <c r="I105" s="374">
        <v>798</v>
      </c>
      <c r="J105" s="781">
        <v>0</v>
      </c>
      <c r="K105" s="809">
        <v>798</v>
      </c>
      <c r="L105" s="1583">
        <v>89202</v>
      </c>
      <c r="M105" s="374">
        <v>0.88666666666666671</v>
      </c>
      <c r="O105" s="650"/>
      <c r="R105" s="602"/>
      <c r="S105" s="602"/>
    </row>
    <row r="106" spans="1:20" ht="24.95" customHeight="1" x14ac:dyDescent="0.3">
      <c r="A106" s="398" t="s">
        <v>309</v>
      </c>
      <c r="B106" s="372"/>
      <c r="C106" s="374">
        <v>0</v>
      </c>
      <c r="D106" s="781">
        <v>0</v>
      </c>
      <c r="E106" s="809">
        <v>0</v>
      </c>
      <c r="F106" s="1597">
        <v>0</v>
      </c>
      <c r="G106" s="374" t="e">
        <v>#DIV/0!</v>
      </c>
      <c r="H106" s="372"/>
      <c r="I106" s="374">
        <v>0</v>
      </c>
      <c r="J106" s="781">
        <v>0</v>
      </c>
      <c r="K106" s="809">
        <v>0</v>
      </c>
      <c r="L106" s="1583">
        <v>0</v>
      </c>
      <c r="M106" s="374" t="e">
        <v>#DIV/0!</v>
      </c>
      <c r="O106" s="406"/>
      <c r="R106" s="602"/>
      <c r="S106" s="602"/>
    </row>
    <row r="107" spans="1:20" ht="24.95" customHeight="1" x14ac:dyDescent="0.3">
      <c r="A107" s="398" t="s">
        <v>322</v>
      </c>
      <c r="B107" s="372">
        <v>16000</v>
      </c>
      <c r="C107" s="374">
        <v>0</v>
      </c>
      <c r="D107" s="781">
        <v>0</v>
      </c>
      <c r="E107" s="809">
        <v>0</v>
      </c>
      <c r="F107" s="1597">
        <v>16000</v>
      </c>
      <c r="G107" s="374">
        <v>0</v>
      </c>
      <c r="H107" s="372"/>
      <c r="I107" s="374">
        <v>0</v>
      </c>
      <c r="J107" s="781">
        <v>0</v>
      </c>
      <c r="K107" s="809">
        <v>0</v>
      </c>
      <c r="L107" s="1583">
        <v>0</v>
      </c>
      <c r="M107" s="374" t="e">
        <v>#DIV/0!</v>
      </c>
      <c r="R107" s="602"/>
      <c r="S107" s="602"/>
    </row>
    <row r="108" spans="1:20" ht="24.95" customHeight="1" x14ac:dyDescent="0.3">
      <c r="A108" s="398" t="s">
        <v>323</v>
      </c>
      <c r="B108" s="372">
        <v>16000</v>
      </c>
      <c r="C108" s="374">
        <v>0</v>
      </c>
      <c r="D108" s="781">
        <v>0</v>
      </c>
      <c r="E108" s="809">
        <v>0</v>
      </c>
      <c r="F108" s="1597">
        <v>16000</v>
      </c>
      <c r="G108" s="374">
        <v>0</v>
      </c>
      <c r="H108" s="372"/>
      <c r="I108" s="374">
        <v>2000</v>
      </c>
      <c r="J108" s="781">
        <v>0</v>
      </c>
      <c r="K108" s="809">
        <v>2000</v>
      </c>
      <c r="L108" s="1583">
        <v>-2000</v>
      </c>
      <c r="M108" s="374" t="e">
        <v>#DIV/0!</v>
      </c>
      <c r="R108" s="602"/>
      <c r="S108" s="602"/>
    </row>
    <row r="109" spans="1:20" ht="24.95" customHeight="1" x14ac:dyDescent="0.3">
      <c r="A109" s="398" t="s">
        <v>324</v>
      </c>
      <c r="B109" s="372"/>
      <c r="C109" s="374">
        <v>1540</v>
      </c>
      <c r="D109" s="781">
        <v>0</v>
      </c>
      <c r="E109" s="809">
        <v>1540</v>
      </c>
      <c r="F109" s="1597">
        <v>-1540</v>
      </c>
      <c r="G109" s="374" t="e">
        <v>#DIV/0!</v>
      </c>
      <c r="H109" s="372"/>
      <c r="I109" s="374">
        <v>470</v>
      </c>
      <c r="J109" s="781">
        <v>220</v>
      </c>
      <c r="K109" s="809">
        <v>250</v>
      </c>
      <c r="L109" s="1583">
        <v>-470</v>
      </c>
      <c r="M109" s="374" t="e">
        <v>#DIV/0!</v>
      </c>
      <c r="R109" s="602"/>
      <c r="S109" s="602"/>
    </row>
    <row r="110" spans="1:20" ht="24.95" customHeight="1" x14ac:dyDescent="0.3">
      <c r="A110" s="398" t="s">
        <v>313</v>
      </c>
      <c r="B110" s="372"/>
      <c r="C110" s="374">
        <v>0</v>
      </c>
      <c r="D110" s="781">
        <v>0</v>
      </c>
      <c r="E110" s="809">
        <v>0</v>
      </c>
      <c r="F110" s="1597">
        <v>0</v>
      </c>
      <c r="G110" s="374" t="e">
        <v>#DIV/0!</v>
      </c>
      <c r="H110" s="372">
        <v>0</v>
      </c>
      <c r="I110" s="374">
        <v>0</v>
      </c>
      <c r="J110" s="781">
        <v>0</v>
      </c>
      <c r="K110" s="809">
        <v>0</v>
      </c>
      <c r="L110" s="1583">
        <v>0</v>
      </c>
      <c r="M110" s="374" t="e">
        <v>#DIV/0!</v>
      </c>
      <c r="O110" s="719"/>
      <c r="R110" s="602"/>
      <c r="S110" s="602"/>
    </row>
    <row r="111" spans="1:20" ht="24.95" customHeight="1" x14ac:dyDescent="0.3">
      <c r="A111" s="398" t="s">
        <v>325</v>
      </c>
      <c r="B111" s="372"/>
      <c r="C111" s="374">
        <v>0</v>
      </c>
      <c r="D111" s="781">
        <v>0</v>
      </c>
      <c r="E111" s="809">
        <v>0</v>
      </c>
      <c r="F111" s="1597">
        <v>0</v>
      </c>
      <c r="G111" s="374" t="e">
        <v>#DIV/0!</v>
      </c>
      <c r="H111" s="372"/>
      <c r="I111" s="374">
        <v>0</v>
      </c>
      <c r="J111" s="781">
        <v>0</v>
      </c>
      <c r="K111" s="809">
        <v>0</v>
      </c>
      <c r="L111" s="1583">
        <v>0</v>
      </c>
      <c r="M111" s="374" t="e">
        <v>#DIV/0!</v>
      </c>
      <c r="R111" s="602"/>
      <c r="S111" s="602"/>
    </row>
    <row r="112" spans="1:20" ht="24.95" customHeight="1" x14ac:dyDescent="0.3">
      <c r="A112" s="398" t="s">
        <v>326</v>
      </c>
      <c r="B112" s="372">
        <v>16000</v>
      </c>
      <c r="C112" s="374">
        <v>0</v>
      </c>
      <c r="D112" s="781">
        <v>0</v>
      </c>
      <c r="E112" s="809">
        <v>0</v>
      </c>
      <c r="F112" s="1597">
        <v>16000</v>
      </c>
      <c r="G112" s="374">
        <v>0</v>
      </c>
      <c r="H112" s="372">
        <v>0</v>
      </c>
      <c r="I112" s="374">
        <v>0</v>
      </c>
      <c r="J112" s="781">
        <v>0</v>
      </c>
      <c r="K112" s="809">
        <v>0</v>
      </c>
      <c r="L112" s="1583">
        <v>0</v>
      </c>
      <c r="M112" s="374" t="e">
        <v>#DIV/0!</v>
      </c>
      <c r="O112" s="719"/>
      <c r="R112" s="602"/>
      <c r="S112" s="602"/>
    </row>
    <row r="113" spans="1:19" ht="24.95" customHeight="1" x14ac:dyDescent="0.3">
      <c r="A113" s="372" t="s">
        <v>390</v>
      </c>
      <c r="B113" s="372"/>
      <c r="C113" s="374">
        <v>0</v>
      </c>
      <c r="D113" s="781">
        <v>0</v>
      </c>
      <c r="E113" s="809">
        <v>0</v>
      </c>
      <c r="F113" s="1597">
        <v>0</v>
      </c>
      <c r="G113" s="374" t="e">
        <v>#DIV/0!</v>
      </c>
      <c r="H113" s="372"/>
      <c r="I113" s="374">
        <v>0</v>
      </c>
      <c r="J113" s="781">
        <v>0</v>
      </c>
      <c r="K113" s="809">
        <v>0</v>
      </c>
      <c r="L113" s="1583">
        <v>0</v>
      </c>
      <c r="M113" s="374" t="e">
        <v>#DIV/0!</v>
      </c>
      <c r="R113" s="602"/>
      <c r="S113" s="602"/>
    </row>
    <row r="114" spans="1:19" ht="24.95" customHeight="1" x14ac:dyDescent="0.3">
      <c r="A114" s="526" t="s">
        <v>12</v>
      </c>
      <c r="B114" s="375">
        <v>140000</v>
      </c>
      <c r="C114" s="376">
        <v>0</v>
      </c>
      <c r="D114" s="799">
        <v>0</v>
      </c>
      <c r="E114" s="810">
        <v>0</v>
      </c>
      <c r="F114" s="1598">
        <v>140000</v>
      </c>
      <c r="G114" s="619">
        <v>0</v>
      </c>
      <c r="H114" s="375">
        <v>70000</v>
      </c>
      <c r="I114" s="376">
        <v>0</v>
      </c>
      <c r="J114" s="799">
        <v>0</v>
      </c>
      <c r="K114" s="810">
        <v>0</v>
      </c>
      <c r="L114" s="1584">
        <v>70000</v>
      </c>
      <c r="M114" s="619">
        <v>0</v>
      </c>
      <c r="R114" s="602"/>
      <c r="S114" s="602"/>
    </row>
    <row r="115" spans="1:19" ht="24.95" customHeight="1" x14ac:dyDescent="0.3">
      <c r="A115" s="372" t="s">
        <v>391</v>
      </c>
      <c r="B115" s="372">
        <v>20000</v>
      </c>
      <c r="C115" s="374">
        <v>0</v>
      </c>
      <c r="D115" s="781">
        <v>0</v>
      </c>
      <c r="E115" s="809">
        <v>0</v>
      </c>
      <c r="F115" s="1597">
        <v>20000</v>
      </c>
      <c r="G115" s="374">
        <v>0</v>
      </c>
      <c r="H115" s="372">
        <v>10000</v>
      </c>
      <c r="I115" s="374">
        <v>0</v>
      </c>
      <c r="J115" s="781">
        <v>0</v>
      </c>
      <c r="K115" s="809">
        <v>0</v>
      </c>
      <c r="L115" s="1583">
        <v>10000</v>
      </c>
      <c r="M115" s="374">
        <v>0</v>
      </c>
      <c r="O115" s="719"/>
      <c r="R115" s="602"/>
      <c r="S115" s="602"/>
    </row>
    <row r="116" spans="1:19" ht="24.95" customHeight="1" x14ac:dyDescent="0.3">
      <c r="A116" s="372" t="s">
        <v>392</v>
      </c>
      <c r="B116" s="372"/>
      <c r="C116" s="374">
        <v>0</v>
      </c>
      <c r="D116" s="781">
        <v>0</v>
      </c>
      <c r="E116" s="809">
        <v>0</v>
      </c>
      <c r="F116" s="1597">
        <v>0</v>
      </c>
      <c r="G116" s="374" t="e">
        <v>#DIV/0!</v>
      </c>
      <c r="H116" s="372"/>
      <c r="I116" s="374">
        <v>0</v>
      </c>
      <c r="J116" s="781">
        <v>0</v>
      </c>
      <c r="K116" s="809">
        <v>0</v>
      </c>
      <c r="L116" s="1583">
        <v>0</v>
      </c>
      <c r="M116" s="374" t="e">
        <v>#DIV/0!</v>
      </c>
      <c r="R116" s="602"/>
      <c r="S116" s="602"/>
    </row>
    <row r="117" spans="1:19" ht="24.95" customHeight="1" x14ac:dyDescent="0.3">
      <c r="A117" s="372" t="s">
        <v>393</v>
      </c>
      <c r="B117" s="372"/>
      <c r="C117" s="374">
        <v>0</v>
      </c>
      <c r="D117" s="781">
        <v>0</v>
      </c>
      <c r="E117" s="809">
        <v>0</v>
      </c>
      <c r="F117" s="1597">
        <v>0</v>
      </c>
      <c r="G117" s="374" t="e">
        <v>#DIV/0!</v>
      </c>
      <c r="H117" s="372"/>
      <c r="I117" s="374">
        <v>0</v>
      </c>
      <c r="J117" s="781">
        <v>0</v>
      </c>
      <c r="K117" s="809">
        <v>0</v>
      </c>
      <c r="L117" s="1583">
        <v>0</v>
      </c>
      <c r="M117" s="374" t="e">
        <v>#DIV/0!</v>
      </c>
      <c r="R117" s="602"/>
      <c r="S117" s="602"/>
    </row>
    <row r="118" spans="1:19" ht="24.95" customHeight="1" x14ac:dyDescent="0.3">
      <c r="A118" s="372" t="s">
        <v>394</v>
      </c>
      <c r="B118" s="372">
        <v>120000</v>
      </c>
      <c r="C118" s="374">
        <v>0</v>
      </c>
      <c r="D118" s="781">
        <v>0</v>
      </c>
      <c r="E118" s="809">
        <v>0</v>
      </c>
      <c r="F118" s="1597">
        <v>120000</v>
      </c>
      <c r="G118" s="374">
        <v>0</v>
      </c>
      <c r="H118" s="372">
        <v>60000</v>
      </c>
      <c r="I118" s="374">
        <v>0</v>
      </c>
      <c r="J118" s="781">
        <v>0</v>
      </c>
      <c r="K118" s="809">
        <v>0</v>
      </c>
      <c r="L118" s="1583">
        <v>60000</v>
      </c>
      <c r="M118" s="374">
        <v>0</v>
      </c>
      <c r="R118" s="602"/>
      <c r="S118" s="602"/>
    </row>
    <row r="119" spans="1:19" ht="24.95" customHeight="1" x14ac:dyDescent="0.3">
      <c r="A119" s="412"/>
      <c r="B119" s="377"/>
      <c r="C119" s="619"/>
      <c r="D119" s="800"/>
      <c r="E119" s="811"/>
      <c r="F119" s="1599"/>
      <c r="G119" s="619"/>
      <c r="H119" s="377"/>
      <c r="I119" s="619"/>
      <c r="J119" s="800"/>
      <c r="K119" s="811"/>
      <c r="L119" s="1585"/>
      <c r="M119" s="620"/>
      <c r="R119" s="602"/>
      <c r="S119" s="602"/>
    </row>
    <row r="120" spans="1:19" ht="24.95" customHeight="1" x14ac:dyDescent="0.3">
      <c r="B120" s="339"/>
      <c r="D120" s="602"/>
      <c r="E120" s="602"/>
      <c r="H120" s="339"/>
      <c r="J120" s="602"/>
      <c r="K120" s="602"/>
      <c r="R120" s="602"/>
      <c r="S120" s="602"/>
    </row>
    <row r="121" spans="1:19" ht="24.95" customHeight="1" x14ac:dyDescent="0.3">
      <c r="B121" s="339"/>
      <c r="D121" s="602"/>
      <c r="E121" s="602"/>
      <c r="H121" s="339"/>
      <c r="J121" s="602"/>
      <c r="K121" s="602"/>
      <c r="R121" s="602"/>
      <c r="S121" s="602"/>
    </row>
    <row r="122" spans="1:19" ht="24.95" customHeight="1" x14ac:dyDescent="0.3">
      <c r="B122" s="339"/>
      <c r="D122" s="602"/>
      <c r="E122" s="602"/>
      <c r="H122" s="339"/>
      <c r="J122" s="602"/>
      <c r="K122" s="602"/>
      <c r="R122" s="602"/>
      <c r="S122" s="602"/>
    </row>
    <row r="123" spans="1:19" ht="24.95" customHeight="1" x14ac:dyDescent="0.3">
      <c r="B123" s="339"/>
      <c r="D123" s="602"/>
      <c r="E123" s="602"/>
      <c r="H123" s="339"/>
      <c r="J123" s="602"/>
      <c r="K123" s="602"/>
      <c r="R123" s="602"/>
      <c r="S123" s="602"/>
    </row>
    <row r="124" spans="1:19" ht="24.95" customHeight="1" x14ac:dyDescent="0.3">
      <c r="B124" s="932" t="s">
        <v>935</v>
      </c>
      <c r="D124" s="602"/>
      <c r="E124" s="602"/>
      <c r="G124" s="2758" t="s">
        <v>936</v>
      </c>
      <c r="H124" s="932" t="s">
        <v>935</v>
      </c>
      <c r="I124" s="602" t="s">
        <v>937</v>
      </c>
      <c r="J124" s="602"/>
      <c r="K124" s="602"/>
      <c r="M124" s="2758" t="s">
        <v>936</v>
      </c>
      <c r="R124" s="602"/>
      <c r="S124" s="602"/>
    </row>
    <row r="125" spans="1:19" ht="24.95" customHeight="1" x14ac:dyDescent="0.3">
      <c r="B125" s="932"/>
      <c r="D125" s="602"/>
      <c r="E125" s="602"/>
      <c r="G125" s="2755"/>
      <c r="H125" s="932"/>
      <c r="J125" s="602"/>
      <c r="K125" s="602"/>
      <c r="M125" s="2755"/>
      <c r="R125" s="602"/>
      <c r="S125" s="602"/>
    </row>
    <row r="126" spans="1:19" ht="24.95" customHeight="1" x14ac:dyDescent="0.3">
      <c r="A126" s="3497" t="s">
        <v>0</v>
      </c>
      <c r="B126" s="1265" t="s">
        <v>66</v>
      </c>
      <c r="C126" s="3500" t="s">
        <v>5</v>
      </c>
      <c r="D126" s="3501"/>
      <c r="E126" s="3501"/>
      <c r="F126" s="3501"/>
      <c r="G126" s="3502"/>
      <c r="H126" s="1265" t="s">
        <v>66</v>
      </c>
      <c r="I126" s="3500" t="s">
        <v>21</v>
      </c>
      <c r="J126" s="3501"/>
      <c r="K126" s="3501"/>
      <c r="L126" s="3501"/>
      <c r="M126" s="3502"/>
      <c r="R126" s="602"/>
      <c r="S126" s="602"/>
    </row>
    <row r="127" spans="1:19" ht="24.95" customHeight="1" x14ac:dyDescent="0.3">
      <c r="A127" s="3498"/>
      <c r="B127" s="1424" t="s">
        <v>27</v>
      </c>
      <c r="C127" s="609" t="s">
        <v>28</v>
      </c>
      <c r="D127" s="795" t="s">
        <v>34</v>
      </c>
      <c r="E127" s="805" t="s">
        <v>62</v>
      </c>
      <c r="F127" s="1593" t="s">
        <v>16</v>
      </c>
      <c r="G127" s="609" t="s">
        <v>22</v>
      </c>
      <c r="H127" s="1424" t="s">
        <v>27</v>
      </c>
      <c r="I127" s="609" t="s">
        <v>28</v>
      </c>
      <c r="J127" s="795" t="s">
        <v>34</v>
      </c>
      <c r="K127" s="805" t="s">
        <v>62</v>
      </c>
      <c r="L127" s="1579" t="s">
        <v>16</v>
      </c>
      <c r="M127" s="609" t="s">
        <v>22</v>
      </c>
      <c r="R127" s="602"/>
      <c r="S127" s="602"/>
    </row>
    <row r="128" spans="1:19" ht="24.95" customHeight="1" x14ac:dyDescent="0.3">
      <c r="A128" s="3499"/>
      <c r="B128" s="1424" t="s">
        <v>942</v>
      </c>
      <c r="C128" s="2830">
        <v>80100</v>
      </c>
      <c r="D128" s="796"/>
      <c r="E128" s="806"/>
      <c r="F128" s="1594"/>
      <c r="G128" s="610" t="s">
        <v>63</v>
      </c>
      <c r="H128" s="1424" t="s">
        <v>942</v>
      </c>
      <c r="I128" s="2830">
        <v>480000</v>
      </c>
      <c r="J128" s="796"/>
      <c r="K128" s="806"/>
      <c r="L128" s="1580"/>
      <c r="M128" s="610" t="s">
        <v>63</v>
      </c>
      <c r="R128" s="602"/>
      <c r="S128" s="602"/>
    </row>
    <row r="129" spans="1:20" ht="24.95" customHeight="1" thickBot="1" x14ac:dyDescent="0.35">
      <c r="A129" s="611" t="s">
        <v>28</v>
      </c>
      <c r="B129" s="1422">
        <v>80100</v>
      </c>
      <c r="C129" s="368">
        <v>10698.36</v>
      </c>
      <c r="D129" s="797">
        <v>0</v>
      </c>
      <c r="E129" s="807">
        <v>10698.36</v>
      </c>
      <c r="F129" s="1595">
        <v>69401.64</v>
      </c>
      <c r="G129" s="368">
        <v>13.35625468164794</v>
      </c>
      <c r="H129" s="1422">
        <v>480000</v>
      </c>
      <c r="I129" s="649">
        <v>6458.5</v>
      </c>
      <c r="J129" s="797">
        <v>0</v>
      </c>
      <c r="K129" s="807">
        <v>6458.5</v>
      </c>
      <c r="L129" s="1581">
        <v>473541.5</v>
      </c>
      <c r="M129" s="612">
        <v>1.3455208333333333</v>
      </c>
      <c r="P129" s="628"/>
      <c r="Q129" s="628"/>
      <c r="R129" s="628"/>
      <c r="S129" s="628"/>
      <c r="T129" s="628"/>
    </row>
    <row r="130" spans="1:20" ht="24.95" customHeight="1" thickTop="1" x14ac:dyDescent="0.3">
      <c r="A130" s="409" t="s">
        <v>7</v>
      </c>
      <c r="B130" s="369">
        <v>0</v>
      </c>
      <c r="C130" s="613">
        <v>0</v>
      </c>
      <c r="D130" s="798">
        <v>0</v>
      </c>
      <c r="E130" s="808">
        <v>0</v>
      </c>
      <c r="F130" s="1596">
        <v>0</v>
      </c>
      <c r="G130" s="613" t="e">
        <v>#DIV/0!</v>
      </c>
      <c r="H130" s="370">
        <v>40000</v>
      </c>
      <c r="I130" s="613">
        <v>0</v>
      </c>
      <c r="J130" s="798">
        <v>0</v>
      </c>
      <c r="K130" s="808">
        <v>0</v>
      </c>
      <c r="L130" s="1582">
        <v>40000</v>
      </c>
      <c r="M130" s="613">
        <v>0</v>
      </c>
      <c r="O130" s="719">
        <v>425000</v>
      </c>
      <c r="R130" s="602"/>
      <c r="S130" s="602"/>
    </row>
    <row r="131" spans="1:20" ht="24.95" customHeight="1" x14ac:dyDescent="0.3">
      <c r="A131" s="398" t="s">
        <v>8</v>
      </c>
      <c r="B131" s="1203"/>
      <c r="C131" s="374">
        <v>0</v>
      </c>
      <c r="D131" s="781">
        <v>0</v>
      </c>
      <c r="E131" s="809">
        <v>0</v>
      </c>
      <c r="F131" s="1597">
        <v>0</v>
      </c>
      <c r="G131" s="374" t="e">
        <v>#DIV/0!</v>
      </c>
      <c r="H131" s="1203">
        <v>40000</v>
      </c>
      <c r="I131" s="374">
        <v>0</v>
      </c>
      <c r="J131" s="781">
        <v>0</v>
      </c>
      <c r="K131" s="809">
        <v>0</v>
      </c>
      <c r="L131" s="1583">
        <v>40000</v>
      </c>
      <c r="M131" s="374">
        <v>0</v>
      </c>
      <c r="O131" s="719">
        <v>0</v>
      </c>
      <c r="P131" s="626"/>
      <c r="R131" s="602"/>
      <c r="S131" s="602"/>
    </row>
    <row r="132" spans="1:20" ht="24.95" customHeight="1" x14ac:dyDescent="0.3">
      <c r="A132" s="398" t="s">
        <v>306</v>
      </c>
      <c r="B132" s="372">
        <v>0</v>
      </c>
      <c r="C132" s="374">
        <v>0</v>
      </c>
      <c r="D132" s="781">
        <v>0</v>
      </c>
      <c r="E132" s="809">
        <v>0</v>
      </c>
      <c r="F132" s="1597">
        <v>0</v>
      </c>
      <c r="G132" s="374" t="e">
        <v>#DIV/0!</v>
      </c>
      <c r="H132" s="372">
        <v>0</v>
      </c>
      <c r="I132" s="374">
        <v>0</v>
      </c>
      <c r="J132" s="781">
        <v>0</v>
      </c>
      <c r="K132" s="809">
        <v>0</v>
      </c>
      <c r="L132" s="1583">
        <v>0</v>
      </c>
      <c r="M132" s="374" t="e">
        <v>#DIV/0!</v>
      </c>
      <c r="R132" s="602"/>
      <c r="S132" s="602"/>
    </row>
    <row r="133" spans="1:20" ht="24.95" customHeight="1" x14ac:dyDescent="0.3">
      <c r="A133" s="398"/>
      <c r="B133" s="372"/>
      <c r="C133" s="374"/>
      <c r="D133" s="781"/>
      <c r="E133" s="809"/>
      <c r="F133" s="1597"/>
      <c r="G133" s="374"/>
      <c r="H133" s="372"/>
      <c r="I133" s="374"/>
      <c r="J133" s="781"/>
      <c r="K133" s="809"/>
      <c r="L133" s="1583"/>
      <c r="M133" s="618"/>
      <c r="R133" s="602"/>
      <c r="S133" s="602"/>
    </row>
    <row r="134" spans="1:20" ht="24.95" customHeight="1" x14ac:dyDescent="0.3">
      <c r="A134" s="387" t="s">
        <v>9</v>
      </c>
      <c r="B134" s="375">
        <v>30100</v>
      </c>
      <c r="C134" s="376">
        <v>10698.36</v>
      </c>
      <c r="D134" s="799">
        <v>0</v>
      </c>
      <c r="E134" s="810">
        <v>10698.36</v>
      </c>
      <c r="F134" s="1598">
        <v>19401.64</v>
      </c>
      <c r="G134" s="376">
        <v>35.542724252491695</v>
      </c>
      <c r="H134" s="375">
        <v>320000</v>
      </c>
      <c r="I134" s="376">
        <v>5335</v>
      </c>
      <c r="J134" s="799">
        <v>0</v>
      </c>
      <c r="K134" s="810">
        <v>5335</v>
      </c>
      <c r="L134" s="1584">
        <v>314665</v>
      </c>
      <c r="M134" s="376">
        <v>1.6671875</v>
      </c>
      <c r="R134" s="602"/>
      <c r="S134" s="602"/>
    </row>
    <row r="135" spans="1:20" ht="24.95" customHeight="1" x14ac:dyDescent="0.3">
      <c r="A135" s="398" t="s">
        <v>321</v>
      </c>
      <c r="B135" s="372"/>
      <c r="C135" s="374">
        <v>0</v>
      </c>
      <c r="D135" s="781">
        <v>0</v>
      </c>
      <c r="E135" s="809">
        <v>0</v>
      </c>
      <c r="F135" s="1597">
        <v>0</v>
      </c>
      <c r="G135" s="374" t="e">
        <v>#DIV/0!</v>
      </c>
      <c r="H135" s="372"/>
      <c r="I135" s="374">
        <v>0</v>
      </c>
      <c r="J135" s="781">
        <v>0</v>
      </c>
      <c r="K135" s="809">
        <v>0</v>
      </c>
      <c r="L135" s="1583">
        <v>0</v>
      </c>
      <c r="M135" s="374" t="e">
        <v>#DIV/0!</v>
      </c>
      <c r="O135" s="406"/>
      <c r="R135" s="602"/>
      <c r="S135" s="602"/>
    </row>
    <row r="136" spans="1:20" ht="24.95" customHeight="1" x14ac:dyDescent="0.3">
      <c r="A136" s="398" t="s">
        <v>309</v>
      </c>
      <c r="B136" s="372"/>
      <c r="C136" s="374">
        <v>0</v>
      </c>
      <c r="D136" s="781">
        <v>0</v>
      </c>
      <c r="E136" s="809">
        <v>0</v>
      </c>
      <c r="F136" s="1597">
        <v>0</v>
      </c>
      <c r="G136" s="374" t="e">
        <v>#DIV/0!</v>
      </c>
      <c r="H136" s="372">
        <v>0</v>
      </c>
      <c r="I136" s="374">
        <v>0</v>
      </c>
      <c r="J136" s="781">
        <v>0</v>
      </c>
      <c r="K136" s="809">
        <v>0</v>
      </c>
      <c r="L136" s="1583">
        <v>0</v>
      </c>
      <c r="M136" s="374" t="e">
        <v>#DIV/0!</v>
      </c>
      <c r="R136" s="602"/>
      <c r="S136" s="602"/>
    </row>
    <row r="137" spans="1:20" ht="24.95" customHeight="1" x14ac:dyDescent="0.3">
      <c r="A137" s="398" t="s">
        <v>322</v>
      </c>
      <c r="B137" s="372"/>
      <c r="C137" s="374">
        <v>5510.5</v>
      </c>
      <c r="D137" s="781">
        <v>0</v>
      </c>
      <c r="E137" s="809">
        <v>5510.5</v>
      </c>
      <c r="F137" s="1597">
        <v>-5510.5</v>
      </c>
      <c r="G137" s="374" t="e">
        <v>#DIV/0!</v>
      </c>
      <c r="H137" s="372">
        <v>10000</v>
      </c>
      <c r="I137" s="374">
        <v>0</v>
      </c>
      <c r="J137" s="781">
        <v>0</v>
      </c>
      <c r="K137" s="809">
        <v>0</v>
      </c>
      <c r="L137" s="1583">
        <v>10000</v>
      </c>
      <c r="M137" s="374">
        <v>0</v>
      </c>
      <c r="R137" s="602"/>
      <c r="S137" s="602"/>
    </row>
    <row r="138" spans="1:20" ht="24.95" customHeight="1" x14ac:dyDescent="0.3">
      <c r="A138" s="398" t="s">
        <v>323</v>
      </c>
      <c r="B138" s="372"/>
      <c r="C138" s="374">
        <v>0</v>
      </c>
      <c r="D138" s="781">
        <v>0</v>
      </c>
      <c r="E138" s="809">
        <v>0</v>
      </c>
      <c r="F138" s="1597">
        <v>0</v>
      </c>
      <c r="G138" s="374" t="e">
        <v>#DIV/0!</v>
      </c>
      <c r="H138" s="372"/>
      <c r="I138" s="374">
        <v>0</v>
      </c>
      <c r="J138" s="781">
        <v>0</v>
      </c>
      <c r="K138" s="809">
        <v>0</v>
      </c>
      <c r="L138" s="1583">
        <v>0</v>
      </c>
      <c r="M138" s="374" t="e">
        <v>#DIV/0!</v>
      </c>
      <c r="R138" s="602"/>
      <c r="S138" s="602"/>
    </row>
    <row r="139" spans="1:20" ht="24.95" customHeight="1" x14ac:dyDescent="0.3">
      <c r="A139" s="398" t="s">
        <v>324</v>
      </c>
      <c r="B139" s="372"/>
      <c r="C139" s="374">
        <v>0</v>
      </c>
      <c r="D139" s="781">
        <v>0</v>
      </c>
      <c r="E139" s="809">
        <v>0</v>
      </c>
      <c r="F139" s="1597">
        <v>0</v>
      </c>
      <c r="G139" s="374" t="e">
        <v>#DIV/0!</v>
      </c>
      <c r="H139" s="372">
        <v>292000</v>
      </c>
      <c r="I139" s="374">
        <v>0</v>
      </c>
      <c r="J139" s="781">
        <v>0</v>
      </c>
      <c r="K139" s="809">
        <v>0</v>
      </c>
      <c r="L139" s="1583">
        <v>292000</v>
      </c>
      <c r="M139" s="374">
        <v>0</v>
      </c>
      <c r="O139" s="3506"/>
      <c r="P139" s="3506"/>
      <c r="R139" s="602"/>
      <c r="S139" s="602"/>
    </row>
    <row r="140" spans="1:20" ht="24.95" customHeight="1" x14ac:dyDescent="0.3">
      <c r="A140" s="398" t="s">
        <v>313</v>
      </c>
      <c r="B140" s="372"/>
      <c r="C140" s="374">
        <v>0</v>
      </c>
      <c r="D140" s="781">
        <v>0</v>
      </c>
      <c r="E140" s="809">
        <v>0</v>
      </c>
      <c r="F140" s="1597">
        <v>0</v>
      </c>
      <c r="G140" s="374" t="e">
        <v>#DIV/0!</v>
      </c>
      <c r="H140" s="372"/>
      <c r="I140" s="374">
        <v>0</v>
      </c>
      <c r="J140" s="781">
        <v>0</v>
      </c>
      <c r="K140" s="809">
        <v>0</v>
      </c>
      <c r="L140" s="1583">
        <v>0</v>
      </c>
      <c r="M140" s="374" t="e">
        <v>#DIV/0!</v>
      </c>
      <c r="R140" s="602"/>
      <c r="S140" s="602"/>
    </row>
    <row r="141" spans="1:20" ht="24.95" customHeight="1" x14ac:dyDescent="0.3">
      <c r="A141" s="398" t="s">
        <v>325</v>
      </c>
      <c r="B141" s="372"/>
      <c r="C141" s="374">
        <v>0</v>
      </c>
      <c r="D141" s="781">
        <v>0</v>
      </c>
      <c r="E141" s="809">
        <v>0</v>
      </c>
      <c r="F141" s="1597">
        <v>0</v>
      </c>
      <c r="G141" s="374" t="e">
        <v>#DIV/0!</v>
      </c>
      <c r="H141" s="372"/>
      <c r="I141" s="374">
        <v>0</v>
      </c>
      <c r="J141" s="781">
        <v>0</v>
      </c>
      <c r="K141" s="809">
        <v>0</v>
      </c>
      <c r="L141" s="1583">
        <v>0</v>
      </c>
      <c r="M141" s="374" t="e">
        <v>#DIV/0!</v>
      </c>
      <c r="R141" s="602"/>
      <c r="S141" s="602"/>
    </row>
    <row r="142" spans="1:20" ht="24.95" customHeight="1" x14ac:dyDescent="0.3">
      <c r="A142" s="398" t="s">
        <v>326</v>
      </c>
      <c r="B142" s="372">
        <v>20100</v>
      </c>
      <c r="C142" s="374">
        <v>4120</v>
      </c>
      <c r="D142" s="781">
        <v>0</v>
      </c>
      <c r="E142" s="809">
        <v>4120</v>
      </c>
      <c r="F142" s="1597">
        <v>15980</v>
      </c>
      <c r="G142" s="374">
        <v>20.497512437810947</v>
      </c>
      <c r="H142" s="372">
        <v>18000</v>
      </c>
      <c r="I142" s="374">
        <v>5335</v>
      </c>
      <c r="J142" s="781">
        <v>0</v>
      </c>
      <c r="K142" s="809">
        <v>5335</v>
      </c>
      <c r="L142" s="1583">
        <v>12665</v>
      </c>
      <c r="M142" s="374">
        <v>29.638888888888889</v>
      </c>
      <c r="R142" s="602"/>
      <c r="S142" s="602"/>
    </row>
    <row r="143" spans="1:20" ht="24.95" customHeight="1" x14ac:dyDescent="0.3">
      <c r="A143" s="372" t="s">
        <v>390</v>
      </c>
      <c r="B143" s="372">
        <v>10000</v>
      </c>
      <c r="C143" s="374">
        <v>1067.8599999999999</v>
      </c>
      <c r="D143" s="781">
        <v>0</v>
      </c>
      <c r="E143" s="809">
        <v>1067.8599999999999</v>
      </c>
      <c r="F143" s="1597">
        <v>8932.14</v>
      </c>
      <c r="G143" s="374">
        <v>10.678599999999999</v>
      </c>
      <c r="H143" s="372"/>
      <c r="I143" s="374"/>
      <c r="J143" s="781">
        <v>0</v>
      </c>
      <c r="K143" s="809">
        <v>0</v>
      </c>
      <c r="L143" s="1583"/>
      <c r="M143" s="374" t="e">
        <v>#DIV/0!</v>
      </c>
      <c r="R143" s="602"/>
      <c r="S143" s="602"/>
    </row>
    <row r="144" spans="1:20" ht="24.95" customHeight="1" x14ac:dyDescent="0.3">
      <c r="A144" s="526" t="s">
        <v>12</v>
      </c>
      <c r="B144" s="375">
        <v>50000</v>
      </c>
      <c r="C144" s="376">
        <v>0</v>
      </c>
      <c r="D144" s="799">
        <v>0</v>
      </c>
      <c r="E144" s="810">
        <v>0</v>
      </c>
      <c r="F144" s="1598">
        <v>50000</v>
      </c>
      <c r="G144" s="619">
        <v>0</v>
      </c>
      <c r="H144" s="375">
        <v>120000</v>
      </c>
      <c r="I144" s="376">
        <v>1123.5</v>
      </c>
      <c r="J144" s="799">
        <v>0</v>
      </c>
      <c r="K144" s="810">
        <v>1123.5</v>
      </c>
      <c r="L144" s="1584">
        <v>118876.5</v>
      </c>
      <c r="M144" s="619">
        <v>0.93625000000000003</v>
      </c>
      <c r="R144" s="602"/>
      <c r="S144" s="602"/>
    </row>
    <row r="145" spans="1:20" ht="24.95" customHeight="1" x14ac:dyDescent="0.3">
      <c r="A145" s="372" t="s">
        <v>391</v>
      </c>
      <c r="B145" s="372">
        <v>10000</v>
      </c>
      <c r="C145" s="374">
        <v>0</v>
      </c>
      <c r="D145" s="781">
        <v>0</v>
      </c>
      <c r="E145" s="809">
        <v>0</v>
      </c>
      <c r="F145" s="1597">
        <v>10000</v>
      </c>
      <c r="G145" s="374">
        <v>0</v>
      </c>
      <c r="H145" s="374">
        <v>30000</v>
      </c>
      <c r="I145" s="374">
        <v>0</v>
      </c>
      <c r="J145" s="781">
        <v>0</v>
      </c>
      <c r="K145" s="809">
        <v>0</v>
      </c>
      <c r="L145" s="1583">
        <v>30000</v>
      </c>
      <c r="M145" s="374">
        <v>0</v>
      </c>
      <c r="R145" s="602"/>
      <c r="S145" s="602"/>
    </row>
    <row r="146" spans="1:20" ht="24.95" customHeight="1" x14ac:dyDescent="0.3">
      <c r="A146" s="372" t="s">
        <v>392</v>
      </c>
      <c r="B146" s="372">
        <v>0</v>
      </c>
      <c r="C146" s="374">
        <v>0</v>
      </c>
      <c r="D146" s="781">
        <v>0</v>
      </c>
      <c r="E146" s="809">
        <v>0</v>
      </c>
      <c r="F146" s="1597">
        <v>0</v>
      </c>
      <c r="G146" s="374" t="e">
        <v>#DIV/0!</v>
      </c>
      <c r="H146" s="372"/>
      <c r="I146" s="374">
        <v>0</v>
      </c>
      <c r="J146" s="781">
        <v>0</v>
      </c>
      <c r="K146" s="809">
        <v>0</v>
      </c>
      <c r="L146" s="1583">
        <v>0</v>
      </c>
      <c r="M146" s="374" t="e">
        <v>#DIV/0!</v>
      </c>
      <c r="R146" s="602"/>
      <c r="S146" s="602"/>
    </row>
    <row r="147" spans="1:20" ht="24.95" customHeight="1" x14ac:dyDescent="0.3">
      <c r="A147" s="372" t="s">
        <v>393</v>
      </c>
      <c r="B147" s="372"/>
      <c r="C147" s="374">
        <v>0</v>
      </c>
      <c r="D147" s="781">
        <v>0</v>
      </c>
      <c r="E147" s="809">
        <v>0</v>
      </c>
      <c r="F147" s="1597">
        <v>0</v>
      </c>
      <c r="G147" s="374" t="e">
        <v>#DIV/0!</v>
      </c>
      <c r="H147" s="372"/>
      <c r="I147" s="374">
        <v>0</v>
      </c>
      <c r="J147" s="781">
        <v>0</v>
      </c>
      <c r="K147" s="809">
        <v>0</v>
      </c>
      <c r="L147" s="1583">
        <v>0</v>
      </c>
      <c r="M147" s="374" t="e">
        <v>#DIV/0!</v>
      </c>
      <c r="R147" s="602"/>
      <c r="S147" s="602"/>
    </row>
    <row r="148" spans="1:20" ht="24.95" customHeight="1" x14ac:dyDescent="0.3">
      <c r="A148" s="372" t="s">
        <v>394</v>
      </c>
      <c r="B148" s="372">
        <v>40000</v>
      </c>
      <c r="C148" s="374">
        <v>0</v>
      </c>
      <c r="D148" s="781">
        <v>0</v>
      </c>
      <c r="E148" s="809">
        <v>0</v>
      </c>
      <c r="F148" s="1597">
        <v>40000</v>
      </c>
      <c r="G148" s="374">
        <v>0</v>
      </c>
      <c r="H148" s="374">
        <v>90000</v>
      </c>
      <c r="I148" s="374">
        <v>1123.5</v>
      </c>
      <c r="J148" s="781">
        <v>0</v>
      </c>
      <c r="K148" s="809">
        <v>1123.5</v>
      </c>
      <c r="L148" s="1583">
        <v>88876.5</v>
      </c>
      <c r="M148" s="374">
        <v>1.2483333333333333</v>
      </c>
      <c r="R148" s="602"/>
      <c r="S148" s="602"/>
    </row>
    <row r="149" spans="1:20" ht="24.95" customHeight="1" x14ac:dyDescent="0.3">
      <c r="A149" s="412"/>
      <c r="B149" s="377"/>
      <c r="C149" s="619"/>
      <c r="D149" s="800"/>
      <c r="E149" s="811"/>
      <c r="F149" s="1599"/>
      <c r="G149" s="619"/>
      <c r="H149" s="377"/>
      <c r="I149" s="619"/>
      <c r="J149" s="800"/>
      <c r="K149" s="811"/>
      <c r="L149" s="1585"/>
      <c r="M149" s="620"/>
      <c r="R149" s="602"/>
      <c r="S149" s="602"/>
    </row>
    <row r="150" spans="1:20" ht="24.95" customHeight="1" x14ac:dyDescent="0.3">
      <c r="B150" s="339"/>
      <c r="D150" s="602"/>
      <c r="E150" s="602"/>
      <c r="H150" s="339"/>
      <c r="J150" s="602"/>
      <c r="K150" s="602"/>
      <c r="R150" s="602"/>
      <c r="S150" s="602"/>
    </row>
    <row r="151" spans="1:20" ht="24.95" customHeight="1" x14ac:dyDescent="0.3">
      <c r="B151" s="339"/>
      <c r="D151" s="602"/>
      <c r="E151" s="602"/>
      <c r="H151" s="339"/>
      <c r="J151" s="602"/>
      <c r="K151" s="602"/>
      <c r="R151" s="602"/>
      <c r="S151" s="602"/>
    </row>
    <row r="152" spans="1:20" ht="24.95" customHeight="1" x14ac:dyDescent="0.3">
      <c r="B152" s="932" t="s">
        <v>935</v>
      </c>
      <c r="D152" s="602"/>
      <c r="E152" s="602"/>
      <c r="G152" s="2755" t="s">
        <v>936</v>
      </c>
      <c r="H152" s="339"/>
      <c r="J152" s="602"/>
      <c r="K152" s="602"/>
      <c r="R152" s="602"/>
      <c r="S152" s="602"/>
    </row>
    <row r="153" spans="1:20" ht="24.95" customHeight="1" x14ac:dyDescent="0.3">
      <c r="B153" s="932"/>
      <c r="D153" s="602"/>
      <c r="E153" s="602"/>
      <c r="G153" s="2755"/>
      <c r="H153" s="339"/>
      <c r="J153" s="602"/>
      <c r="K153" s="602"/>
      <c r="R153" s="602"/>
      <c r="S153" s="602"/>
    </row>
    <row r="154" spans="1:20" ht="24.95" customHeight="1" x14ac:dyDescent="0.3">
      <c r="A154" s="3497" t="s">
        <v>0</v>
      </c>
      <c r="B154" s="1265" t="s">
        <v>66</v>
      </c>
      <c r="C154" s="3500" t="s">
        <v>258</v>
      </c>
      <c r="D154" s="3501"/>
      <c r="E154" s="3501"/>
      <c r="F154" s="3501"/>
      <c r="G154" s="3502"/>
      <c r="H154" s="1265" t="s">
        <v>66</v>
      </c>
      <c r="I154" s="3503"/>
      <c r="J154" s="3504"/>
      <c r="K154" s="3504"/>
      <c r="L154" s="3504"/>
      <c r="M154" s="3505"/>
      <c r="R154" s="602"/>
      <c r="S154" s="602"/>
    </row>
    <row r="155" spans="1:20" ht="24.95" customHeight="1" x14ac:dyDescent="0.3">
      <c r="A155" s="3498"/>
      <c r="B155" s="1424" t="s">
        <v>27</v>
      </c>
      <c r="C155" s="609" t="s">
        <v>28</v>
      </c>
      <c r="D155" s="795" t="s">
        <v>34</v>
      </c>
      <c r="E155" s="805" t="s">
        <v>62</v>
      </c>
      <c r="F155" s="1593" t="s">
        <v>16</v>
      </c>
      <c r="G155" s="609" t="s">
        <v>22</v>
      </c>
      <c r="H155" s="1424" t="s">
        <v>27</v>
      </c>
      <c r="I155" s="609" t="s">
        <v>28</v>
      </c>
      <c r="J155" s="795" t="s">
        <v>34</v>
      </c>
      <c r="K155" s="805" t="s">
        <v>62</v>
      </c>
      <c r="L155" s="1579" t="s">
        <v>16</v>
      </c>
      <c r="M155" s="609" t="s">
        <v>22</v>
      </c>
      <c r="R155" s="602"/>
      <c r="S155" s="602"/>
    </row>
    <row r="156" spans="1:20" ht="24.95" customHeight="1" x14ac:dyDescent="0.3">
      <c r="A156" s="3499"/>
      <c r="B156" s="1424" t="s">
        <v>942</v>
      </c>
      <c r="C156" s="2762">
        <v>170000</v>
      </c>
      <c r="D156" s="796"/>
      <c r="E156" s="806"/>
      <c r="F156" s="1594"/>
      <c r="G156" s="610" t="s">
        <v>63</v>
      </c>
      <c r="H156" s="1424" t="s">
        <v>942</v>
      </c>
      <c r="I156" s="610"/>
      <c r="J156" s="796"/>
      <c r="K156" s="806"/>
      <c r="L156" s="1580"/>
      <c r="M156" s="610" t="s">
        <v>63</v>
      </c>
      <c r="R156" s="602"/>
      <c r="S156" s="602"/>
    </row>
    <row r="157" spans="1:20" ht="24.95" customHeight="1" thickBot="1" x14ac:dyDescent="0.35">
      <c r="A157" s="611" t="s">
        <v>28</v>
      </c>
      <c r="B157" s="1422">
        <v>170000</v>
      </c>
      <c r="C157" s="368">
        <v>34764</v>
      </c>
      <c r="D157" s="797">
        <v>0</v>
      </c>
      <c r="E157" s="807">
        <v>34764</v>
      </c>
      <c r="F157" s="1595">
        <v>135236</v>
      </c>
      <c r="G157" s="368">
        <v>20.449411764705882</v>
      </c>
      <c r="H157" s="367">
        <v>0</v>
      </c>
      <c r="I157" s="649">
        <v>0</v>
      </c>
      <c r="J157" s="797">
        <v>0</v>
      </c>
      <c r="K157" s="807">
        <v>0</v>
      </c>
      <c r="L157" s="1581">
        <v>0</v>
      </c>
      <c r="M157" s="612" t="e">
        <v>#DIV/0!</v>
      </c>
      <c r="P157" s="628"/>
      <c r="Q157" s="628"/>
      <c r="R157" s="628"/>
      <c r="S157" s="628"/>
      <c r="T157" s="628"/>
    </row>
    <row r="158" spans="1:20" ht="24.95" customHeight="1" thickTop="1" x14ac:dyDescent="0.3">
      <c r="A158" s="409" t="s">
        <v>7</v>
      </c>
      <c r="B158" s="369">
        <v>0</v>
      </c>
      <c r="C158" s="613">
        <v>0</v>
      </c>
      <c r="D158" s="798">
        <v>0</v>
      </c>
      <c r="E158" s="808">
        <v>0</v>
      </c>
      <c r="F158" s="1596">
        <v>0</v>
      </c>
      <c r="G158" s="613" t="e">
        <v>#DIV/0!</v>
      </c>
      <c r="H158" s="370">
        <v>0</v>
      </c>
      <c r="I158" s="613">
        <v>0</v>
      </c>
      <c r="J158" s="798">
        <v>0</v>
      </c>
      <c r="K158" s="808">
        <v>0</v>
      </c>
      <c r="L158" s="1582">
        <v>0</v>
      </c>
      <c r="M158" s="613" t="e">
        <v>#DIV/0!</v>
      </c>
      <c r="O158" s="719">
        <v>-170000</v>
      </c>
      <c r="R158" s="602"/>
      <c r="S158" s="602"/>
    </row>
    <row r="159" spans="1:20" ht="24.95" customHeight="1" x14ac:dyDescent="0.3">
      <c r="A159" s="398" t="s">
        <v>8</v>
      </c>
      <c r="B159" s="1203"/>
      <c r="C159" s="374">
        <v>0</v>
      </c>
      <c r="D159" s="781">
        <v>0</v>
      </c>
      <c r="E159" s="809">
        <v>0</v>
      </c>
      <c r="F159" s="1597">
        <v>0</v>
      </c>
      <c r="G159" s="374" t="e">
        <v>#DIV/0!</v>
      </c>
      <c r="H159" s="1203"/>
      <c r="I159" s="374">
        <v>0</v>
      </c>
      <c r="J159" s="781"/>
      <c r="K159" s="809"/>
      <c r="L159" s="1583">
        <v>0</v>
      </c>
      <c r="M159" s="374" t="e">
        <v>#DIV/0!</v>
      </c>
      <c r="R159" s="602"/>
      <c r="S159" s="602"/>
    </row>
    <row r="160" spans="1:20" ht="24.95" customHeight="1" x14ac:dyDescent="0.3">
      <c r="A160" s="398" t="s">
        <v>306</v>
      </c>
      <c r="B160" s="372">
        <v>0</v>
      </c>
      <c r="C160" s="374">
        <v>0</v>
      </c>
      <c r="D160" s="781">
        <v>0</v>
      </c>
      <c r="E160" s="809">
        <v>0</v>
      </c>
      <c r="F160" s="1597">
        <v>0</v>
      </c>
      <c r="G160" s="374" t="e">
        <v>#DIV/0!</v>
      </c>
      <c r="H160" s="372">
        <v>0</v>
      </c>
      <c r="I160" s="374">
        <v>0</v>
      </c>
      <c r="J160" s="781"/>
      <c r="K160" s="809"/>
      <c r="L160" s="1583">
        <v>0</v>
      </c>
      <c r="M160" s="374" t="e">
        <v>#DIV/0!</v>
      </c>
      <c r="R160" s="602"/>
      <c r="S160" s="602"/>
    </row>
    <row r="161" spans="1:19" ht="24.95" customHeight="1" x14ac:dyDescent="0.3">
      <c r="A161" s="398"/>
      <c r="B161" s="372"/>
      <c r="C161" s="374"/>
      <c r="D161" s="781"/>
      <c r="E161" s="809"/>
      <c r="F161" s="1597"/>
      <c r="G161" s="374"/>
      <c r="H161" s="372"/>
      <c r="I161" s="374"/>
      <c r="J161" s="781"/>
      <c r="K161" s="809"/>
      <c r="L161" s="1583"/>
      <c r="M161" s="618"/>
      <c r="R161" s="602"/>
      <c r="S161" s="602"/>
    </row>
    <row r="162" spans="1:19" ht="24.95" customHeight="1" x14ac:dyDescent="0.3">
      <c r="A162" s="387" t="s">
        <v>9</v>
      </c>
      <c r="B162" s="375">
        <v>80000</v>
      </c>
      <c r="C162" s="376">
        <v>34764</v>
      </c>
      <c r="D162" s="799">
        <v>0</v>
      </c>
      <c r="E162" s="810">
        <v>34764</v>
      </c>
      <c r="F162" s="1598">
        <v>45236</v>
      </c>
      <c r="G162" s="376">
        <v>43.454999999999998</v>
      </c>
      <c r="H162" s="375">
        <v>0</v>
      </c>
      <c r="I162" s="376">
        <v>0</v>
      </c>
      <c r="J162" s="799">
        <v>0</v>
      </c>
      <c r="K162" s="810">
        <v>0</v>
      </c>
      <c r="L162" s="1584">
        <v>0</v>
      </c>
      <c r="M162" s="376" t="e">
        <v>#DIV/0!</v>
      </c>
      <c r="R162" s="602"/>
      <c r="S162" s="602"/>
    </row>
    <row r="163" spans="1:19" ht="24.95" customHeight="1" x14ac:dyDescent="0.3">
      <c r="A163" s="398" t="s">
        <v>321</v>
      </c>
      <c r="B163" s="372">
        <v>50000</v>
      </c>
      <c r="C163" s="374">
        <v>12268</v>
      </c>
      <c r="D163" s="781">
        <v>0</v>
      </c>
      <c r="E163" s="809">
        <v>12268</v>
      </c>
      <c r="F163" s="1597">
        <v>37732</v>
      </c>
      <c r="G163" s="374">
        <v>24.536000000000001</v>
      </c>
      <c r="H163" s="372">
        <v>0</v>
      </c>
      <c r="I163" s="374">
        <v>0</v>
      </c>
      <c r="J163" s="781"/>
      <c r="K163" s="809"/>
      <c r="L163" s="1583">
        <v>0</v>
      </c>
      <c r="M163" s="374" t="e">
        <v>#DIV/0!</v>
      </c>
      <c r="R163" s="602"/>
      <c r="S163" s="602"/>
    </row>
    <row r="164" spans="1:19" ht="24.95" customHeight="1" x14ac:dyDescent="0.3">
      <c r="A164" s="398" t="s">
        <v>309</v>
      </c>
      <c r="B164" s="372"/>
      <c r="C164" s="374">
        <v>0</v>
      </c>
      <c r="D164" s="781">
        <v>0</v>
      </c>
      <c r="E164" s="809">
        <v>0</v>
      </c>
      <c r="F164" s="1597">
        <v>0</v>
      </c>
      <c r="G164" s="374" t="e">
        <v>#DIV/0!</v>
      </c>
      <c r="H164" s="372">
        <v>0</v>
      </c>
      <c r="I164" s="374">
        <v>0</v>
      </c>
      <c r="J164" s="781"/>
      <c r="K164" s="809"/>
      <c r="L164" s="1583">
        <v>0</v>
      </c>
      <c r="M164" s="374" t="e">
        <v>#DIV/0!</v>
      </c>
      <c r="R164" s="602"/>
      <c r="S164" s="602"/>
    </row>
    <row r="165" spans="1:19" ht="24.95" customHeight="1" x14ac:dyDescent="0.3">
      <c r="A165" s="398" t="s">
        <v>322</v>
      </c>
      <c r="B165" s="372"/>
      <c r="C165" s="374">
        <v>0</v>
      </c>
      <c r="D165" s="781">
        <v>0</v>
      </c>
      <c r="E165" s="809">
        <v>0</v>
      </c>
      <c r="F165" s="1597">
        <v>0</v>
      </c>
      <c r="G165" s="374" t="e">
        <v>#DIV/0!</v>
      </c>
      <c r="H165" s="372">
        <v>0</v>
      </c>
      <c r="I165" s="374">
        <v>0</v>
      </c>
      <c r="J165" s="781"/>
      <c r="K165" s="809"/>
      <c r="L165" s="1583">
        <v>0</v>
      </c>
      <c r="M165" s="374" t="e">
        <v>#DIV/0!</v>
      </c>
      <c r="R165" s="602"/>
      <c r="S165" s="602"/>
    </row>
    <row r="166" spans="1:19" ht="24.95" customHeight="1" x14ac:dyDescent="0.3">
      <c r="A166" s="398" t="s">
        <v>323</v>
      </c>
      <c r="B166" s="372">
        <v>30000</v>
      </c>
      <c r="C166" s="374">
        <v>0</v>
      </c>
      <c r="D166" s="781">
        <v>0</v>
      </c>
      <c r="E166" s="809">
        <v>0</v>
      </c>
      <c r="F166" s="1597">
        <v>30000</v>
      </c>
      <c r="G166" s="374">
        <v>0</v>
      </c>
      <c r="H166" s="372">
        <v>0</v>
      </c>
      <c r="I166" s="374">
        <v>0</v>
      </c>
      <c r="J166" s="781"/>
      <c r="K166" s="809"/>
      <c r="L166" s="1583">
        <v>0</v>
      </c>
      <c r="M166" s="374" t="e">
        <v>#DIV/0!</v>
      </c>
      <c r="R166" s="602"/>
      <c r="S166" s="602"/>
    </row>
    <row r="167" spans="1:19" ht="24.95" customHeight="1" x14ac:dyDescent="0.3">
      <c r="A167" s="398" t="s">
        <v>324</v>
      </c>
      <c r="B167" s="372"/>
      <c r="C167" s="374">
        <v>2996</v>
      </c>
      <c r="D167" s="781">
        <v>0</v>
      </c>
      <c r="E167" s="809">
        <v>2996</v>
      </c>
      <c r="F167" s="1597">
        <v>-2996</v>
      </c>
      <c r="G167" s="374" t="e">
        <v>#DIV/0!</v>
      </c>
      <c r="H167" s="372"/>
      <c r="I167" s="374">
        <v>0</v>
      </c>
      <c r="J167" s="781"/>
      <c r="K167" s="809"/>
      <c r="L167" s="1583">
        <v>0</v>
      </c>
      <c r="M167" s="374" t="e">
        <v>#DIV/0!</v>
      </c>
      <c r="O167" s="3506"/>
      <c r="P167" s="3506"/>
      <c r="R167" s="602"/>
      <c r="S167" s="602"/>
    </row>
    <row r="168" spans="1:19" ht="24.95" customHeight="1" x14ac:dyDescent="0.3">
      <c r="A168" s="398" t="s">
        <v>313</v>
      </c>
      <c r="B168" s="372"/>
      <c r="C168" s="374">
        <v>0</v>
      </c>
      <c r="D168" s="781">
        <v>0</v>
      </c>
      <c r="E168" s="809">
        <v>0</v>
      </c>
      <c r="F168" s="1597">
        <v>0</v>
      </c>
      <c r="G168" s="374" t="e">
        <v>#DIV/0!</v>
      </c>
      <c r="H168" s="372"/>
      <c r="I168" s="374">
        <v>0</v>
      </c>
      <c r="J168" s="781"/>
      <c r="K168" s="809"/>
      <c r="L168" s="1583">
        <v>0</v>
      </c>
      <c r="M168" s="374" t="e">
        <v>#DIV/0!</v>
      </c>
      <c r="R168" s="602"/>
      <c r="S168" s="602"/>
    </row>
    <row r="169" spans="1:19" ht="24.95" customHeight="1" x14ac:dyDescent="0.3">
      <c r="A169" s="398" t="s">
        <v>325</v>
      </c>
      <c r="B169" s="372"/>
      <c r="C169" s="374">
        <v>19500</v>
      </c>
      <c r="D169" s="781">
        <v>0</v>
      </c>
      <c r="E169" s="809">
        <v>19500</v>
      </c>
      <c r="F169" s="1597">
        <v>-19500</v>
      </c>
      <c r="G169" s="374" t="e">
        <v>#DIV/0!</v>
      </c>
      <c r="H169" s="372"/>
      <c r="I169" s="374">
        <v>0</v>
      </c>
      <c r="J169" s="781"/>
      <c r="K169" s="809"/>
      <c r="L169" s="1583">
        <v>0</v>
      </c>
      <c r="M169" s="374" t="e">
        <v>#DIV/0!</v>
      </c>
      <c r="R169" s="602"/>
      <c r="S169" s="602"/>
    </row>
    <row r="170" spans="1:19" ht="24.95" customHeight="1" x14ac:dyDescent="0.3">
      <c r="A170" s="398" t="s">
        <v>326</v>
      </c>
      <c r="B170" s="372"/>
      <c r="C170" s="374">
        <v>0</v>
      </c>
      <c r="D170" s="781">
        <v>0</v>
      </c>
      <c r="E170" s="809">
        <v>0</v>
      </c>
      <c r="F170" s="1597">
        <v>0</v>
      </c>
      <c r="G170" s="374" t="e">
        <v>#DIV/0!</v>
      </c>
      <c r="H170" s="372"/>
      <c r="I170" s="374">
        <v>0</v>
      </c>
      <c r="J170" s="781"/>
      <c r="K170" s="809"/>
      <c r="L170" s="1583">
        <v>0</v>
      </c>
      <c r="M170" s="374" t="e">
        <v>#DIV/0!</v>
      </c>
      <c r="R170" s="602"/>
      <c r="S170" s="602"/>
    </row>
    <row r="171" spans="1:19" ht="24.95" customHeight="1" x14ac:dyDescent="0.3">
      <c r="A171" s="372" t="s">
        <v>390</v>
      </c>
      <c r="B171" s="372"/>
      <c r="C171" s="374"/>
      <c r="D171" s="781">
        <v>0</v>
      </c>
      <c r="E171" s="809">
        <v>0</v>
      </c>
      <c r="F171" s="1597"/>
      <c r="G171" s="374"/>
      <c r="H171" s="372"/>
      <c r="I171" s="374"/>
      <c r="J171" s="781"/>
      <c r="K171" s="809"/>
      <c r="L171" s="1583"/>
      <c r="M171" s="618"/>
      <c r="R171" s="602"/>
      <c r="S171" s="602"/>
    </row>
    <row r="172" spans="1:19" ht="24.95" customHeight="1" x14ac:dyDescent="0.3">
      <c r="A172" s="526" t="s">
        <v>12</v>
      </c>
      <c r="B172" s="375">
        <v>90000</v>
      </c>
      <c r="C172" s="376">
        <v>0</v>
      </c>
      <c r="D172" s="799">
        <v>0</v>
      </c>
      <c r="E172" s="810">
        <v>0</v>
      </c>
      <c r="F172" s="1598">
        <v>90000</v>
      </c>
      <c r="G172" s="619">
        <v>0</v>
      </c>
      <c r="H172" s="375">
        <v>0</v>
      </c>
      <c r="I172" s="376">
        <v>0</v>
      </c>
      <c r="J172" s="799">
        <v>0</v>
      </c>
      <c r="K172" s="810">
        <v>0</v>
      </c>
      <c r="L172" s="1584">
        <v>0</v>
      </c>
      <c r="M172" s="619" t="e">
        <v>#DIV/0!</v>
      </c>
      <c r="R172" s="602"/>
      <c r="S172" s="602"/>
    </row>
    <row r="173" spans="1:19" ht="24.95" customHeight="1" x14ac:dyDescent="0.3">
      <c r="A173" s="372" t="s">
        <v>391</v>
      </c>
      <c r="B173" s="372">
        <v>10000</v>
      </c>
      <c r="C173" s="374">
        <v>0</v>
      </c>
      <c r="D173" s="781">
        <v>0</v>
      </c>
      <c r="E173" s="809">
        <v>0</v>
      </c>
      <c r="F173" s="1597">
        <v>10000</v>
      </c>
      <c r="G173" s="374">
        <v>0</v>
      </c>
      <c r="H173" s="372"/>
      <c r="I173" s="374">
        <v>0</v>
      </c>
      <c r="J173" s="781"/>
      <c r="K173" s="809"/>
      <c r="L173" s="1583">
        <v>0</v>
      </c>
      <c r="M173" s="374" t="e">
        <v>#DIV/0!</v>
      </c>
      <c r="R173" s="602"/>
      <c r="S173" s="602"/>
    </row>
    <row r="174" spans="1:19" ht="24.95" customHeight="1" x14ac:dyDescent="0.3">
      <c r="A174" s="372" t="s">
        <v>392</v>
      </c>
      <c r="B174" s="372"/>
      <c r="C174" s="374">
        <v>0</v>
      </c>
      <c r="D174" s="781">
        <v>0</v>
      </c>
      <c r="E174" s="809">
        <v>0</v>
      </c>
      <c r="F174" s="1597">
        <v>0</v>
      </c>
      <c r="G174" s="374" t="e">
        <v>#DIV/0!</v>
      </c>
      <c r="H174" s="372">
        <v>0</v>
      </c>
      <c r="I174" s="374">
        <v>0</v>
      </c>
      <c r="J174" s="781"/>
      <c r="K174" s="809"/>
      <c r="L174" s="1583">
        <v>0</v>
      </c>
      <c r="M174" s="374" t="e">
        <v>#DIV/0!</v>
      </c>
      <c r="R174" s="602"/>
      <c r="S174" s="602"/>
    </row>
    <row r="175" spans="1:19" ht="24.95" customHeight="1" x14ac:dyDescent="0.3">
      <c r="A175" s="372" t="s">
        <v>393</v>
      </c>
      <c r="B175" s="372"/>
      <c r="C175" s="374">
        <v>0</v>
      </c>
      <c r="D175" s="781">
        <v>0</v>
      </c>
      <c r="E175" s="809">
        <v>0</v>
      </c>
      <c r="F175" s="1597">
        <v>0</v>
      </c>
      <c r="G175" s="374" t="e">
        <v>#DIV/0!</v>
      </c>
      <c r="H175" s="372">
        <v>0</v>
      </c>
      <c r="I175" s="374">
        <v>0</v>
      </c>
      <c r="J175" s="781"/>
      <c r="K175" s="809"/>
      <c r="L175" s="1583">
        <v>0</v>
      </c>
      <c r="M175" s="374" t="e">
        <v>#DIV/0!</v>
      </c>
      <c r="R175" s="602"/>
      <c r="S175" s="602"/>
    </row>
    <row r="176" spans="1:19" ht="24.95" customHeight="1" x14ac:dyDescent="0.3">
      <c r="A176" s="372" t="s">
        <v>394</v>
      </c>
      <c r="B176" s="372">
        <v>80000</v>
      </c>
      <c r="C176" s="374">
        <v>0</v>
      </c>
      <c r="D176" s="781">
        <v>0</v>
      </c>
      <c r="E176" s="809">
        <v>0</v>
      </c>
      <c r="F176" s="1597">
        <v>80000</v>
      </c>
      <c r="G176" s="374">
        <v>0</v>
      </c>
      <c r="H176" s="372"/>
      <c r="I176" s="374">
        <v>0</v>
      </c>
      <c r="J176" s="781"/>
      <c r="K176" s="809"/>
      <c r="L176" s="1583">
        <v>0</v>
      </c>
      <c r="M176" s="374" t="e">
        <v>#DIV/0!</v>
      </c>
      <c r="R176" s="602"/>
      <c r="S176" s="602"/>
    </row>
    <row r="177" spans="1:19" ht="24.95" customHeight="1" x14ac:dyDescent="0.3">
      <c r="A177" s="412"/>
      <c r="B177" s="377"/>
      <c r="C177" s="619"/>
      <c r="D177" s="800"/>
      <c r="E177" s="811"/>
      <c r="F177" s="1599"/>
      <c r="G177" s="619"/>
      <c r="H177" s="377"/>
      <c r="I177" s="619"/>
      <c r="J177" s="800"/>
      <c r="K177" s="811"/>
      <c r="L177" s="1585"/>
      <c r="M177" s="620"/>
      <c r="R177" s="602"/>
      <c r="S177" s="602"/>
    </row>
    <row r="178" spans="1:19" ht="24.95" customHeight="1" x14ac:dyDescent="0.3">
      <c r="B178" s="339"/>
      <c r="D178" s="602"/>
      <c r="E178" s="602"/>
      <c r="H178" s="339"/>
      <c r="J178" s="602"/>
      <c r="K178" s="602"/>
      <c r="R178" s="602"/>
      <c r="S178" s="602"/>
    </row>
    <row r="179" spans="1:19" ht="24.95" customHeight="1" x14ac:dyDescent="0.3">
      <c r="A179" s="3489" t="s">
        <v>0</v>
      </c>
      <c r="B179" s="3486" t="s">
        <v>126</v>
      </c>
      <c r="C179" s="3487"/>
      <c r="D179" s="3487"/>
      <c r="E179" s="3487"/>
      <c r="F179" s="3487"/>
      <c r="G179" s="3487"/>
      <c r="H179" s="3487"/>
      <c r="I179" s="3487"/>
      <c r="J179" s="3487"/>
      <c r="K179" s="3487"/>
      <c r="L179" s="3488"/>
      <c r="M179" s="652"/>
      <c r="R179" s="602"/>
      <c r="S179" s="602"/>
    </row>
    <row r="180" spans="1:19" ht="24.95" customHeight="1" x14ac:dyDescent="0.3">
      <c r="A180" s="3490"/>
      <c r="B180" s="653" t="s">
        <v>6</v>
      </c>
      <c r="C180" s="654" t="s">
        <v>2</v>
      </c>
      <c r="D180" s="801" t="s">
        <v>1</v>
      </c>
      <c r="E180" s="812" t="s">
        <v>3</v>
      </c>
      <c r="F180" s="1600" t="s">
        <v>24</v>
      </c>
      <c r="G180" s="653" t="s">
        <v>23</v>
      </c>
      <c r="H180" s="653" t="s">
        <v>4</v>
      </c>
      <c r="I180" s="654" t="s">
        <v>20</v>
      </c>
      <c r="J180" s="801" t="s">
        <v>5</v>
      </c>
      <c r="K180" s="812" t="s">
        <v>21</v>
      </c>
      <c r="L180" s="1586" t="s">
        <v>28</v>
      </c>
      <c r="M180" s="655"/>
      <c r="R180" s="602"/>
      <c r="S180" s="602"/>
    </row>
    <row r="181" spans="1:19" ht="23.25" customHeight="1" x14ac:dyDescent="0.3">
      <c r="A181" s="656" t="s">
        <v>127</v>
      </c>
      <c r="B181" s="1203"/>
      <c r="C181" s="616"/>
      <c r="D181" s="802"/>
      <c r="E181" s="813"/>
      <c r="F181" s="1601"/>
      <c r="G181" s="616"/>
      <c r="H181" s="1203"/>
      <c r="I181" s="616"/>
      <c r="J181" s="802"/>
      <c r="K181" s="813"/>
      <c r="L181" s="1587"/>
      <c r="M181" s="655"/>
      <c r="R181" s="602"/>
      <c r="S181" s="602"/>
    </row>
    <row r="182" spans="1:19" ht="23.25" customHeight="1" x14ac:dyDescent="0.3">
      <c r="A182" s="387" t="s">
        <v>128</v>
      </c>
      <c r="B182" s="372"/>
      <c r="C182" s="374"/>
      <c r="D182" s="781"/>
      <c r="E182" s="809"/>
      <c r="F182" s="1597"/>
      <c r="G182" s="372"/>
      <c r="H182" s="372"/>
      <c r="I182" s="374"/>
      <c r="J182" s="781"/>
      <c r="K182" s="809"/>
      <c r="L182" s="1587"/>
      <c r="M182" s="655"/>
      <c r="R182" s="602"/>
      <c r="S182" s="602"/>
    </row>
    <row r="183" spans="1:19" ht="23.25" customHeight="1" x14ac:dyDescent="0.3">
      <c r="A183" s="657" t="s">
        <v>236</v>
      </c>
      <c r="B183" s="658"/>
      <c r="C183" s="659"/>
      <c r="D183" s="803"/>
      <c r="E183" s="814"/>
      <c r="F183" s="1602"/>
      <c r="G183" s="658"/>
      <c r="H183" s="658"/>
      <c r="I183" s="659"/>
      <c r="J183" s="803"/>
      <c r="K183" s="814"/>
      <c r="L183" s="1588"/>
      <c r="M183" s="655"/>
      <c r="R183" s="602"/>
      <c r="S183" s="602"/>
    </row>
    <row r="184" spans="1:19" ht="24.95" customHeight="1" x14ac:dyDescent="0.3">
      <c r="B184" s="339"/>
      <c r="D184" s="602"/>
      <c r="E184" s="602"/>
      <c r="H184" s="339"/>
      <c r="J184" s="602"/>
      <c r="K184" s="602"/>
      <c r="L184" s="1589" t="s">
        <v>256</v>
      </c>
      <c r="R184" s="602"/>
      <c r="S184" s="602"/>
    </row>
    <row r="185" spans="1:19" ht="24.95" customHeight="1" x14ac:dyDescent="0.3">
      <c r="A185" s="651"/>
      <c r="B185" s="651" t="s">
        <v>129</v>
      </c>
      <c r="D185" s="602"/>
      <c r="E185" s="602"/>
      <c r="H185" s="339"/>
      <c r="J185" s="602"/>
      <c r="K185" s="602"/>
      <c r="L185" s="1590"/>
      <c r="M185" s="660"/>
      <c r="R185" s="602"/>
      <c r="S185" s="602"/>
    </row>
    <row r="186" spans="1:19" ht="24.95" customHeight="1" x14ac:dyDescent="0.3">
      <c r="B186" s="339"/>
      <c r="D186" s="602"/>
      <c r="E186" s="602"/>
      <c r="H186" s="339"/>
      <c r="J186" s="602"/>
      <c r="K186" s="602"/>
      <c r="L186" s="1591"/>
      <c r="M186" s="624"/>
      <c r="R186" s="602"/>
      <c r="S186" s="602"/>
    </row>
    <row r="187" spans="1:19" ht="24.95" customHeight="1" x14ac:dyDescent="0.3">
      <c r="B187" s="339"/>
      <c r="D187" s="602"/>
      <c r="E187" s="602"/>
      <c r="H187" s="339"/>
      <c r="J187" s="602"/>
      <c r="K187" s="602"/>
      <c r="R187" s="602"/>
      <c r="S187" s="602"/>
    </row>
    <row r="188" spans="1:19" ht="24.95" customHeight="1" x14ac:dyDescent="0.3">
      <c r="B188" s="339"/>
      <c r="D188" s="602"/>
      <c r="E188" s="602"/>
      <c r="H188" s="339"/>
      <c r="J188" s="602"/>
      <c r="K188" s="602"/>
      <c r="R188" s="602"/>
      <c r="S188" s="602"/>
    </row>
    <row r="189" spans="1:19" ht="24.95" customHeight="1" x14ac:dyDescent="0.3">
      <c r="B189" s="339"/>
      <c r="D189" s="602"/>
      <c r="E189" s="602"/>
      <c r="H189" s="339"/>
      <c r="J189" s="602"/>
      <c r="K189" s="602"/>
      <c r="R189" s="602"/>
      <c r="S189" s="602"/>
    </row>
    <row r="190" spans="1:19" ht="24.95" customHeight="1" x14ac:dyDescent="0.3">
      <c r="B190" s="339"/>
      <c r="D190" s="602"/>
      <c r="E190" s="602"/>
      <c r="H190" s="339"/>
      <c r="J190" s="602"/>
      <c r="K190" s="602"/>
      <c r="R190" s="602"/>
      <c r="S190" s="602"/>
    </row>
    <row r="191" spans="1:19" ht="24.95" customHeight="1" x14ac:dyDescent="0.3">
      <c r="B191" s="339"/>
      <c r="D191" s="602"/>
      <c r="E191" s="602"/>
      <c r="H191" s="339"/>
      <c r="J191" s="602"/>
      <c r="K191" s="602"/>
      <c r="R191" s="602"/>
      <c r="S191" s="602"/>
    </row>
    <row r="192" spans="1:19" ht="24.95" customHeight="1" x14ac:dyDescent="0.3">
      <c r="B192" s="339"/>
      <c r="D192" s="602"/>
      <c r="E192" s="602"/>
      <c r="H192" s="339"/>
      <c r="J192" s="602"/>
      <c r="K192" s="602"/>
      <c r="R192" s="602"/>
      <c r="S192" s="602"/>
    </row>
    <row r="193" spans="2:19" ht="24.95" customHeight="1" x14ac:dyDescent="0.3">
      <c r="B193" s="339"/>
      <c r="D193" s="602"/>
      <c r="E193" s="602"/>
      <c r="H193" s="339"/>
      <c r="J193" s="602"/>
      <c r="K193" s="602"/>
      <c r="R193" s="602"/>
      <c r="S193" s="602"/>
    </row>
    <row r="194" spans="2:19" ht="24.95" customHeight="1" x14ac:dyDescent="0.3">
      <c r="B194" s="339"/>
      <c r="D194" s="602"/>
      <c r="E194" s="602"/>
      <c r="H194" s="339"/>
      <c r="J194" s="602"/>
      <c r="K194" s="602"/>
      <c r="R194" s="602"/>
      <c r="S194" s="602"/>
    </row>
    <row r="195" spans="2:19" ht="24.95" customHeight="1" x14ac:dyDescent="0.3">
      <c r="B195" s="339"/>
      <c r="D195" s="602"/>
      <c r="E195" s="602"/>
      <c r="H195" s="339"/>
      <c r="J195" s="602"/>
      <c r="K195" s="602"/>
      <c r="R195" s="602"/>
      <c r="S195" s="602"/>
    </row>
    <row r="196" spans="2:19" ht="24.95" customHeight="1" x14ac:dyDescent="0.3">
      <c r="D196" s="602"/>
      <c r="E196" s="602"/>
      <c r="J196" s="602"/>
      <c r="K196" s="602"/>
      <c r="R196" s="602"/>
      <c r="S196" s="602"/>
    </row>
    <row r="197" spans="2:19" ht="24.95" customHeight="1" x14ac:dyDescent="0.3">
      <c r="D197" s="602"/>
      <c r="E197" s="602"/>
      <c r="J197" s="602"/>
      <c r="K197" s="602"/>
      <c r="R197" s="602"/>
      <c r="S197" s="602"/>
    </row>
    <row r="198" spans="2:19" ht="24.95" customHeight="1" x14ac:dyDescent="0.3">
      <c r="D198" s="602"/>
      <c r="E198" s="602"/>
      <c r="J198" s="602"/>
      <c r="K198" s="602"/>
      <c r="R198" s="602"/>
      <c r="S198" s="602"/>
    </row>
    <row r="199" spans="2:19" ht="24.95" customHeight="1" x14ac:dyDescent="0.3">
      <c r="D199" s="602"/>
      <c r="E199" s="602"/>
      <c r="J199" s="602"/>
      <c r="K199" s="602"/>
      <c r="R199" s="602"/>
      <c r="S199" s="602"/>
    </row>
    <row r="200" spans="2:19" x14ac:dyDescent="0.3">
      <c r="D200" s="602"/>
      <c r="E200" s="602"/>
      <c r="J200" s="602"/>
      <c r="K200" s="602"/>
      <c r="R200" s="602"/>
      <c r="S200" s="602"/>
    </row>
    <row r="201" spans="2:19" x14ac:dyDescent="0.3">
      <c r="D201" s="602"/>
      <c r="E201" s="602"/>
      <c r="J201" s="602"/>
      <c r="K201" s="602"/>
      <c r="R201" s="602"/>
      <c r="S201" s="602"/>
    </row>
    <row r="202" spans="2:19" x14ac:dyDescent="0.3">
      <c r="D202" s="602"/>
      <c r="E202" s="602"/>
      <c r="J202" s="602"/>
      <c r="K202" s="602"/>
      <c r="R202" s="602"/>
      <c r="S202" s="602"/>
    </row>
    <row r="203" spans="2:19" x14ac:dyDescent="0.3">
      <c r="D203" s="602"/>
      <c r="E203" s="602"/>
      <c r="J203" s="602"/>
      <c r="K203" s="602"/>
      <c r="R203" s="602"/>
      <c r="S203" s="602"/>
    </row>
    <row r="204" spans="2:19" x14ac:dyDescent="0.3">
      <c r="D204" s="602"/>
      <c r="E204" s="602"/>
      <c r="J204" s="602"/>
      <c r="K204" s="602"/>
      <c r="R204" s="602"/>
      <c r="S204" s="602"/>
    </row>
    <row r="205" spans="2:19" x14ac:dyDescent="0.3">
      <c r="D205" s="602"/>
      <c r="E205" s="602"/>
      <c r="J205" s="602"/>
      <c r="K205" s="602"/>
      <c r="R205" s="602"/>
      <c r="S205" s="602"/>
    </row>
    <row r="206" spans="2:19" x14ac:dyDescent="0.3">
      <c r="D206" s="602"/>
      <c r="E206" s="602"/>
      <c r="J206" s="602"/>
      <c r="K206" s="602"/>
      <c r="R206" s="602"/>
      <c r="S206" s="602"/>
    </row>
    <row r="207" spans="2:19" x14ac:dyDescent="0.3">
      <c r="D207" s="602"/>
      <c r="E207" s="602"/>
      <c r="J207" s="602"/>
      <c r="K207" s="602"/>
      <c r="R207" s="602"/>
      <c r="S207" s="602"/>
    </row>
    <row r="208" spans="2:19" x14ac:dyDescent="0.3">
      <c r="D208" s="602"/>
      <c r="E208" s="602"/>
      <c r="J208" s="602"/>
      <c r="K208" s="602"/>
      <c r="R208" s="602"/>
      <c r="S208" s="602"/>
    </row>
    <row r="209" spans="4:19" x14ac:dyDescent="0.3">
      <c r="D209" s="602"/>
      <c r="E209" s="602"/>
      <c r="J209" s="602"/>
      <c r="K209" s="602"/>
      <c r="R209" s="602"/>
      <c r="S209" s="602"/>
    </row>
    <row r="210" spans="4:19" x14ac:dyDescent="0.3">
      <c r="D210" s="602"/>
      <c r="E210" s="602"/>
      <c r="J210" s="602"/>
      <c r="K210" s="602"/>
      <c r="R210" s="602"/>
      <c r="S210" s="602"/>
    </row>
    <row r="211" spans="4:19" x14ac:dyDescent="0.3">
      <c r="D211" s="602"/>
      <c r="E211" s="602"/>
      <c r="J211" s="602"/>
      <c r="K211" s="602"/>
      <c r="R211" s="602"/>
      <c r="S211" s="602"/>
    </row>
    <row r="212" spans="4:19" x14ac:dyDescent="0.3">
      <c r="D212" s="602"/>
      <c r="E212" s="602"/>
      <c r="J212" s="602"/>
      <c r="K212" s="602"/>
      <c r="R212" s="602"/>
      <c r="S212" s="602"/>
    </row>
    <row r="213" spans="4:19" x14ac:dyDescent="0.3">
      <c r="D213" s="602"/>
      <c r="E213" s="602"/>
      <c r="J213" s="602"/>
      <c r="K213" s="602"/>
      <c r="R213" s="602"/>
      <c r="S213" s="602"/>
    </row>
    <row r="214" spans="4:19" x14ac:dyDescent="0.3">
      <c r="D214" s="602"/>
      <c r="E214" s="602"/>
      <c r="J214" s="602"/>
      <c r="K214" s="602"/>
      <c r="R214" s="602"/>
      <c r="S214" s="602"/>
    </row>
    <row r="215" spans="4:19" x14ac:dyDescent="0.3">
      <c r="D215" s="602"/>
      <c r="E215" s="602"/>
      <c r="J215" s="602"/>
      <c r="K215" s="602"/>
      <c r="R215" s="602"/>
      <c r="S215" s="602"/>
    </row>
    <row r="216" spans="4:19" x14ac:dyDescent="0.3">
      <c r="D216" s="602"/>
      <c r="E216" s="602"/>
      <c r="J216" s="602"/>
      <c r="K216" s="602"/>
      <c r="R216" s="602"/>
      <c r="S216" s="602"/>
    </row>
    <row r="217" spans="4:19" x14ac:dyDescent="0.3">
      <c r="D217" s="602"/>
      <c r="E217" s="602"/>
      <c r="J217" s="602"/>
      <c r="K217" s="602"/>
      <c r="R217" s="602"/>
      <c r="S217" s="602"/>
    </row>
    <row r="218" spans="4:19" x14ac:dyDescent="0.3">
      <c r="D218" s="602"/>
      <c r="E218" s="602"/>
      <c r="J218" s="602"/>
      <c r="K218" s="602"/>
      <c r="R218" s="602"/>
      <c r="S218" s="602"/>
    </row>
    <row r="219" spans="4:19" x14ac:dyDescent="0.3">
      <c r="D219" s="602"/>
      <c r="E219" s="602"/>
      <c r="J219" s="602"/>
      <c r="K219" s="602"/>
      <c r="R219" s="602"/>
      <c r="S219" s="602"/>
    </row>
    <row r="220" spans="4:19" x14ac:dyDescent="0.3">
      <c r="D220" s="602"/>
      <c r="E220" s="602"/>
      <c r="J220" s="602"/>
      <c r="K220" s="602"/>
      <c r="R220" s="602"/>
      <c r="S220" s="602"/>
    </row>
    <row r="221" spans="4:19" x14ac:dyDescent="0.3">
      <c r="D221" s="602"/>
      <c r="E221" s="602"/>
      <c r="J221" s="602"/>
      <c r="K221" s="602"/>
      <c r="R221" s="602"/>
      <c r="S221" s="602"/>
    </row>
    <row r="222" spans="4:19" x14ac:dyDescent="0.3">
      <c r="D222" s="602"/>
      <c r="E222" s="602"/>
      <c r="J222" s="602"/>
      <c r="K222" s="602"/>
      <c r="R222" s="602"/>
      <c r="S222" s="602"/>
    </row>
    <row r="223" spans="4:19" x14ac:dyDescent="0.3">
      <c r="D223" s="602"/>
      <c r="E223" s="602"/>
      <c r="J223" s="602"/>
      <c r="K223" s="602"/>
      <c r="R223" s="602"/>
      <c r="S223" s="602"/>
    </row>
    <row r="224" spans="4:19" x14ac:dyDescent="0.3">
      <c r="D224" s="602"/>
      <c r="E224" s="602"/>
      <c r="J224" s="602"/>
      <c r="K224" s="602"/>
      <c r="R224" s="602"/>
      <c r="S224" s="602"/>
    </row>
    <row r="225" spans="4:19" x14ac:dyDescent="0.3">
      <c r="D225" s="602"/>
      <c r="E225" s="602"/>
      <c r="J225" s="602"/>
      <c r="K225" s="602"/>
      <c r="R225" s="602"/>
      <c r="S225" s="602"/>
    </row>
    <row r="226" spans="4:19" x14ac:dyDescent="0.3">
      <c r="D226" s="602"/>
      <c r="E226" s="602"/>
      <c r="J226" s="602"/>
      <c r="K226" s="602"/>
      <c r="R226" s="602"/>
      <c r="S226" s="602"/>
    </row>
    <row r="227" spans="4:19" x14ac:dyDescent="0.3">
      <c r="D227" s="602"/>
      <c r="E227" s="602"/>
      <c r="J227" s="602"/>
      <c r="K227" s="602"/>
      <c r="R227" s="602"/>
      <c r="S227" s="602"/>
    </row>
    <row r="228" spans="4:19" x14ac:dyDescent="0.3">
      <c r="D228" s="602"/>
      <c r="E228" s="602"/>
      <c r="J228" s="602"/>
      <c r="K228" s="602"/>
      <c r="R228" s="602"/>
      <c r="S228" s="602"/>
    </row>
    <row r="229" spans="4:19" x14ac:dyDescent="0.3">
      <c r="D229" s="602"/>
      <c r="E229" s="602"/>
      <c r="J229" s="602"/>
      <c r="K229" s="602"/>
      <c r="R229" s="602"/>
      <c r="S229" s="602"/>
    </row>
    <row r="230" spans="4:19" x14ac:dyDescent="0.3">
      <c r="D230" s="602"/>
      <c r="E230" s="602"/>
      <c r="J230" s="602"/>
      <c r="K230" s="602"/>
      <c r="R230" s="602"/>
      <c r="S230" s="602"/>
    </row>
    <row r="231" spans="4:19" x14ac:dyDescent="0.3">
      <c r="D231" s="602"/>
      <c r="E231" s="602"/>
      <c r="J231" s="602"/>
      <c r="K231" s="602"/>
      <c r="R231" s="602"/>
      <c r="S231" s="602"/>
    </row>
    <row r="232" spans="4:19" x14ac:dyDescent="0.3">
      <c r="D232" s="602"/>
      <c r="E232" s="602"/>
      <c r="J232" s="602"/>
      <c r="K232" s="602"/>
      <c r="R232" s="602"/>
      <c r="S232" s="602"/>
    </row>
    <row r="233" spans="4:19" x14ac:dyDescent="0.3">
      <c r="D233" s="602"/>
      <c r="E233" s="602"/>
      <c r="J233" s="602"/>
      <c r="K233" s="602"/>
      <c r="R233" s="602"/>
      <c r="S233" s="602"/>
    </row>
    <row r="234" spans="4:19" x14ac:dyDescent="0.3">
      <c r="D234" s="602"/>
      <c r="E234" s="602"/>
      <c r="J234" s="602"/>
      <c r="K234" s="602"/>
      <c r="R234" s="602"/>
      <c r="S234" s="602"/>
    </row>
    <row r="235" spans="4:19" x14ac:dyDescent="0.3">
      <c r="D235" s="602"/>
      <c r="E235" s="602"/>
      <c r="J235" s="602"/>
      <c r="K235" s="602"/>
      <c r="R235" s="602"/>
      <c r="S235" s="602"/>
    </row>
    <row r="236" spans="4:19" x14ac:dyDescent="0.3">
      <c r="D236" s="602"/>
      <c r="E236" s="602"/>
      <c r="J236" s="602"/>
      <c r="K236" s="602"/>
      <c r="R236" s="602"/>
      <c r="S236" s="602"/>
    </row>
    <row r="237" spans="4:19" x14ac:dyDescent="0.3">
      <c r="D237" s="602"/>
      <c r="E237" s="602"/>
      <c r="J237" s="602"/>
      <c r="K237" s="602"/>
      <c r="R237" s="602"/>
      <c r="S237" s="602"/>
    </row>
    <row r="238" spans="4:19" x14ac:dyDescent="0.3">
      <c r="D238" s="602"/>
      <c r="E238" s="602"/>
      <c r="J238" s="602"/>
      <c r="K238" s="602"/>
      <c r="R238" s="602"/>
      <c r="S238" s="602"/>
    </row>
    <row r="239" spans="4:19" x14ac:dyDescent="0.3">
      <c r="D239" s="602"/>
      <c r="E239" s="602"/>
      <c r="J239" s="602"/>
      <c r="K239" s="602"/>
      <c r="R239" s="602"/>
      <c r="S239" s="602"/>
    </row>
    <row r="240" spans="4:19" x14ac:dyDescent="0.3">
      <c r="D240" s="602"/>
      <c r="E240" s="602"/>
      <c r="J240" s="602"/>
      <c r="K240" s="602"/>
      <c r="R240" s="602"/>
      <c r="S240" s="602"/>
    </row>
    <row r="241" spans="4:19" x14ac:dyDescent="0.3">
      <c r="D241" s="602"/>
      <c r="E241" s="602"/>
      <c r="J241" s="602"/>
      <c r="K241" s="602"/>
      <c r="R241" s="602"/>
      <c r="S241" s="602"/>
    </row>
    <row r="242" spans="4:19" x14ac:dyDescent="0.3">
      <c r="D242" s="602"/>
      <c r="E242" s="602"/>
      <c r="J242" s="602"/>
      <c r="K242" s="602"/>
      <c r="R242" s="602"/>
      <c r="S242" s="602"/>
    </row>
    <row r="243" spans="4:19" x14ac:dyDescent="0.3">
      <c r="D243" s="602"/>
      <c r="E243" s="602"/>
      <c r="J243" s="602"/>
      <c r="K243" s="602"/>
      <c r="R243" s="602"/>
      <c r="S243" s="602"/>
    </row>
    <row r="244" spans="4:19" x14ac:dyDescent="0.3">
      <c r="D244" s="602"/>
      <c r="E244" s="602"/>
      <c r="J244" s="602"/>
      <c r="K244" s="602"/>
      <c r="R244" s="602"/>
      <c r="S244" s="602"/>
    </row>
    <row r="245" spans="4:19" x14ac:dyDescent="0.3">
      <c r="D245" s="602"/>
      <c r="E245" s="602"/>
      <c r="J245" s="602"/>
      <c r="K245" s="602"/>
      <c r="R245" s="602"/>
      <c r="S245" s="602"/>
    </row>
  </sheetData>
  <mergeCells count="24">
    <mergeCell ref="O167:P167"/>
    <mergeCell ref="O139:P139"/>
    <mergeCell ref="Q3:U3"/>
    <mergeCell ref="C66:G66"/>
    <mergeCell ref="I66:M66"/>
    <mergeCell ref="O3:O5"/>
    <mergeCell ref="C126:G126"/>
    <mergeCell ref="I126:M126"/>
    <mergeCell ref="C3:G3"/>
    <mergeCell ref="I96:M96"/>
    <mergeCell ref="B179:L179"/>
    <mergeCell ref="A179:A180"/>
    <mergeCell ref="A3:A5"/>
    <mergeCell ref="I3:M3"/>
    <mergeCell ref="A126:A128"/>
    <mergeCell ref="A36:A38"/>
    <mergeCell ref="A154:A156"/>
    <mergeCell ref="C154:G154"/>
    <mergeCell ref="I154:M154"/>
    <mergeCell ref="C96:G96"/>
    <mergeCell ref="A66:A68"/>
    <mergeCell ref="A96:A98"/>
    <mergeCell ref="I36:M36"/>
    <mergeCell ref="C36:G3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0.39997558519241921"/>
  </sheetPr>
  <dimension ref="A1:T381"/>
  <sheetViews>
    <sheetView zoomScaleNormal="100" workbookViewId="0">
      <selection sqref="A1:XFD1048576"/>
    </sheetView>
  </sheetViews>
  <sheetFormatPr defaultColWidth="9.140625" defaultRowHeight="18.75" x14ac:dyDescent="0.3"/>
  <cols>
    <col min="1" max="1" width="22.5703125" style="395" customWidth="1"/>
    <col min="2" max="2" width="10" style="414" customWidth="1"/>
    <col min="3" max="3" width="10.140625" style="339" customWidth="1"/>
    <col min="4" max="4" width="9" style="339" customWidth="1"/>
    <col min="5" max="5" width="12" style="339" customWidth="1"/>
    <col min="6" max="6" width="13.85546875" style="339" customWidth="1"/>
    <col min="7" max="7" width="10.85546875" style="339" customWidth="1"/>
    <col min="8" max="8" width="11" style="395" bestFit="1" customWidth="1"/>
    <col min="9" max="9" width="23.28515625" style="339" customWidth="1"/>
    <col min="10" max="10" width="9.7109375" style="339" customWidth="1"/>
    <col min="11" max="11" width="10.28515625" style="722" customWidth="1"/>
    <col min="12" max="12" width="9.28515625" style="730" customWidth="1"/>
    <col min="13" max="14" width="10.42578125" style="395" customWidth="1"/>
    <col min="15" max="15" width="9.140625" style="395"/>
    <col min="16" max="16" width="19.140625" style="395" customWidth="1"/>
    <col min="17" max="16384" width="9.140625" style="395"/>
  </cols>
  <sheetData>
    <row r="1" spans="1:20" s="339" customFormat="1" x14ac:dyDescent="0.3">
      <c r="A1" s="342" t="s">
        <v>804</v>
      </c>
      <c r="L1" s="382"/>
      <c r="N1" s="382"/>
      <c r="Q1" s="520"/>
      <c r="R1" s="520"/>
      <c r="S1" s="521"/>
      <c r="T1" s="522"/>
    </row>
    <row r="2" spans="1:20" s="339" customFormat="1" x14ac:dyDescent="0.3">
      <c r="Q2" s="520"/>
      <c r="R2" s="520"/>
      <c r="S2" s="523"/>
      <c r="T2" s="520"/>
    </row>
    <row r="3" spans="1:20" ht="24.95" customHeight="1" x14ac:dyDescent="0.3">
      <c r="A3" s="3513" t="s">
        <v>0</v>
      </c>
      <c r="B3" s="3515" t="s">
        <v>6</v>
      </c>
      <c r="C3" s="3515"/>
      <c r="D3" s="3515"/>
      <c r="E3" s="3515" t="s">
        <v>2</v>
      </c>
      <c r="F3" s="3515"/>
      <c r="G3" s="3515"/>
      <c r="I3" s="3516" t="s">
        <v>0</v>
      </c>
      <c r="J3" s="3518" t="s">
        <v>28</v>
      </c>
      <c r="K3" s="3518"/>
      <c r="L3" s="3518"/>
      <c r="N3" s="417"/>
      <c r="Q3" s="472"/>
      <c r="R3" s="472"/>
      <c r="S3" s="472"/>
      <c r="T3" s="472"/>
    </row>
    <row r="4" spans="1:20" ht="24.95" customHeight="1" x14ac:dyDescent="0.3">
      <c r="A4" s="3514"/>
      <c r="B4" s="418" t="s">
        <v>28</v>
      </c>
      <c r="C4" s="723" t="s">
        <v>34</v>
      </c>
      <c r="D4" s="731" t="s">
        <v>62</v>
      </c>
      <c r="E4" s="380" t="s">
        <v>28</v>
      </c>
      <c r="F4" s="723" t="s">
        <v>34</v>
      </c>
      <c r="G4" s="731" t="s">
        <v>62</v>
      </c>
      <c r="I4" s="3517"/>
      <c r="J4" s="380" t="s">
        <v>28</v>
      </c>
      <c r="K4" s="723" t="s">
        <v>34</v>
      </c>
      <c r="L4" s="731" t="s">
        <v>62</v>
      </c>
    </row>
    <row r="5" spans="1:20" ht="24.95" customHeight="1" thickBot="1" x14ac:dyDescent="0.35">
      <c r="A5" s="419" t="s">
        <v>28</v>
      </c>
      <c r="B5" s="420">
        <v>0</v>
      </c>
      <c r="C5" s="724">
        <v>0</v>
      </c>
      <c r="D5" s="732">
        <v>0</v>
      </c>
      <c r="E5" s="367">
        <v>0</v>
      </c>
      <c r="F5" s="724">
        <v>0</v>
      </c>
      <c r="G5" s="732">
        <v>0</v>
      </c>
      <c r="I5" s="525" t="s">
        <v>28</v>
      </c>
      <c r="J5" s="367">
        <v>19650</v>
      </c>
      <c r="K5" s="724">
        <v>0</v>
      </c>
      <c r="L5" s="732">
        <v>19650</v>
      </c>
    </row>
    <row r="6" spans="1:20" s="415" customFormat="1" ht="24.95" customHeight="1" thickTop="1" x14ac:dyDescent="0.3">
      <c r="A6" s="369" t="s">
        <v>7</v>
      </c>
      <c r="B6" s="421">
        <v>0</v>
      </c>
      <c r="C6" s="725">
        <v>0</v>
      </c>
      <c r="D6" s="733">
        <v>0</v>
      </c>
      <c r="E6" s="370">
        <v>0</v>
      </c>
      <c r="F6" s="725">
        <v>0</v>
      </c>
      <c r="G6" s="733">
        <v>0</v>
      </c>
      <c r="I6" s="369" t="s">
        <v>7</v>
      </c>
      <c r="J6" s="370">
        <v>0</v>
      </c>
      <c r="K6" s="725">
        <v>0</v>
      </c>
      <c r="L6" s="733">
        <v>0</v>
      </c>
    </row>
    <row r="7" spans="1:20" ht="24.95" customHeight="1" x14ac:dyDescent="0.3">
      <c r="A7" s="398" t="s">
        <v>8</v>
      </c>
      <c r="B7" s="422">
        <v>0</v>
      </c>
      <c r="C7" s="726"/>
      <c r="D7" s="734"/>
      <c r="E7" s="372">
        <v>0</v>
      </c>
      <c r="F7" s="726"/>
      <c r="G7" s="734"/>
      <c r="I7" s="398" t="s">
        <v>8</v>
      </c>
      <c r="J7" s="372">
        <v>0</v>
      </c>
      <c r="K7" s="726">
        <v>0</v>
      </c>
      <c r="L7" s="734">
        <v>0</v>
      </c>
    </row>
    <row r="8" spans="1:20" ht="24.95" customHeight="1" x14ac:dyDescent="0.3">
      <c r="A8" s="398" t="s">
        <v>306</v>
      </c>
      <c r="B8" s="422">
        <v>0</v>
      </c>
      <c r="C8" s="726"/>
      <c r="D8" s="734"/>
      <c r="E8" s="372">
        <v>0</v>
      </c>
      <c r="F8" s="726"/>
      <c r="G8" s="734"/>
      <c r="I8" s="398" t="s">
        <v>306</v>
      </c>
      <c r="J8" s="372">
        <v>0</v>
      </c>
      <c r="K8" s="726">
        <v>0</v>
      </c>
      <c r="L8" s="734">
        <v>0</v>
      </c>
    </row>
    <row r="9" spans="1:20" ht="24.95" customHeight="1" x14ac:dyDescent="0.3">
      <c r="A9" s="372"/>
      <c r="B9" s="422"/>
      <c r="C9" s="726"/>
      <c r="D9" s="734"/>
      <c r="E9" s="372"/>
      <c r="F9" s="726"/>
      <c r="G9" s="734"/>
      <c r="I9" s="372"/>
      <c r="J9" s="372"/>
      <c r="K9" s="726"/>
      <c r="L9" s="734"/>
    </row>
    <row r="10" spans="1:20" s="415" customFormat="1" ht="24.95" customHeight="1" x14ac:dyDescent="0.3">
      <c r="A10" s="526" t="s">
        <v>9</v>
      </c>
      <c r="B10" s="423">
        <v>0</v>
      </c>
      <c r="C10" s="727">
        <v>0</v>
      </c>
      <c r="D10" s="735">
        <v>0</v>
      </c>
      <c r="E10" s="375">
        <v>0</v>
      </c>
      <c r="F10" s="727">
        <v>0</v>
      </c>
      <c r="G10" s="735">
        <v>0</v>
      </c>
      <c r="I10" s="526" t="s">
        <v>9</v>
      </c>
      <c r="J10" s="375">
        <v>19650</v>
      </c>
      <c r="K10" s="727">
        <v>0</v>
      </c>
      <c r="L10" s="735">
        <v>19650</v>
      </c>
    </row>
    <row r="11" spans="1:20" ht="24.95" customHeight="1" x14ac:dyDescent="0.3">
      <c r="A11" s="372" t="s">
        <v>308</v>
      </c>
      <c r="B11" s="422">
        <v>0</v>
      </c>
      <c r="C11" s="726"/>
      <c r="D11" s="734"/>
      <c r="E11" s="372">
        <v>0</v>
      </c>
      <c r="F11" s="726"/>
      <c r="G11" s="734"/>
      <c r="I11" s="372" t="s">
        <v>308</v>
      </c>
      <c r="J11" s="372">
        <v>19650</v>
      </c>
      <c r="K11" s="726">
        <v>0</v>
      </c>
      <c r="L11" s="734">
        <v>19650</v>
      </c>
    </row>
    <row r="12" spans="1:20" ht="24.95" customHeight="1" x14ac:dyDescent="0.3">
      <c r="A12" s="372" t="s">
        <v>309</v>
      </c>
      <c r="B12" s="422">
        <v>0</v>
      </c>
      <c r="C12" s="726"/>
      <c r="D12" s="734"/>
      <c r="E12" s="372">
        <v>0</v>
      </c>
      <c r="F12" s="726"/>
      <c r="G12" s="734"/>
      <c r="I12" s="372" t="s">
        <v>309</v>
      </c>
      <c r="J12" s="372">
        <v>0</v>
      </c>
      <c r="K12" s="726">
        <v>0</v>
      </c>
      <c r="L12" s="734">
        <v>0</v>
      </c>
    </row>
    <row r="13" spans="1:20" ht="24.95" customHeight="1" x14ac:dyDescent="0.3">
      <c r="A13" s="372" t="s">
        <v>310</v>
      </c>
      <c r="B13" s="422">
        <v>0</v>
      </c>
      <c r="C13" s="726"/>
      <c r="D13" s="734"/>
      <c r="E13" s="372">
        <v>0</v>
      </c>
      <c r="F13" s="726"/>
      <c r="G13" s="734"/>
      <c r="I13" s="372" t="s">
        <v>310</v>
      </c>
      <c r="J13" s="372">
        <v>0</v>
      </c>
      <c r="K13" s="726">
        <v>0</v>
      </c>
      <c r="L13" s="734">
        <v>0</v>
      </c>
    </row>
    <row r="14" spans="1:20" ht="24.95" customHeight="1" x14ac:dyDescent="0.3">
      <c r="A14" s="372" t="s">
        <v>311</v>
      </c>
      <c r="B14" s="422">
        <v>0</v>
      </c>
      <c r="C14" s="726"/>
      <c r="D14" s="734"/>
      <c r="E14" s="372">
        <v>0</v>
      </c>
      <c r="F14" s="726"/>
      <c r="G14" s="734"/>
      <c r="I14" s="372" t="s">
        <v>311</v>
      </c>
      <c r="J14" s="372">
        <v>0</v>
      </c>
      <c r="K14" s="726">
        <v>0</v>
      </c>
      <c r="L14" s="734">
        <v>0</v>
      </c>
    </row>
    <row r="15" spans="1:20" ht="24.95" customHeight="1" x14ac:dyDescent="0.3">
      <c r="A15" s="372" t="s">
        <v>312</v>
      </c>
      <c r="B15" s="422">
        <v>0</v>
      </c>
      <c r="C15" s="726"/>
      <c r="D15" s="734"/>
      <c r="E15" s="372">
        <v>0</v>
      </c>
      <c r="F15" s="726"/>
      <c r="G15" s="734"/>
      <c r="I15" s="372" t="s">
        <v>312</v>
      </c>
      <c r="J15" s="372">
        <v>0</v>
      </c>
      <c r="K15" s="726">
        <v>0</v>
      </c>
      <c r="L15" s="734">
        <v>0</v>
      </c>
    </row>
    <row r="16" spans="1:20" ht="24.95" customHeight="1" x14ac:dyDescent="0.3">
      <c r="A16" s="372" t="s">
        <v>313</v>
      </c>
      <c r="B16" s="422">
        <v>0</v>
      </c>
      <c r="C16" s="726"/>
      <c r="D16" s="734"/>
      <c r="E16" s="372">
        <v>0</v>
      </c>
      <c r="F16" s="726"/>
      <c r="G16" s="734"/>
      <c r="I16" s="372" t="s">
        <v>313</v>
      </c>
      <c r="J16" s="372">
        <v>0</v>
      </c>
      <c r="K16" s="726">
        <v>0</v>
      </c>
      <c r="L16" s="734">
        <v>0</v>
      </c>
    </row>
    <row r="17" spans="1:12" ht="24.95" customHeight="1" x14ac:dyDescent="0.3">
      <c r="A17" s="372" t="s">
        <v>314</v>
      </c>
      <c r="B17" s="422">
        <v>0</v>
      </c>
      <c r="C17" s="726"/>
      <c r="D17" s="734"/>
      <c r="E17" s="372">
        <v>0</v>
      </c>
      <c r="F17" s="726"/>
      <c r="G17" s="734"/>
      <c r="I17" s="372" t="s">
        <v>314</v>
      </c>
      <c r="J17" s="372">
        <v>0</v>
      </c>
      <c r="K17" s="726">
        <v>0</v>
      </c>
      <c r="L17" s="734">
        <v>0</v>
      </c>
    </row>
    <row r="18" spans="1:12" ht="24.95" customHeight="1" x14ac:dyDescent="0.3">
      <c r="A18" s="372" t="s">
        <v>315</v>
      </c>
      <c r="B18" s="422">
        <v>0</v>
      </c>
      <c r="C18" s="726"/>
      <c r="D18" s="734"/>
      <c r="E18" s="372">
        <v>0</v>
      </c>
      <c r="F18" s="726"/>
      <c r="G18" s="734"/>
      <c r="I18" s="372" t="s">
        <v>315</v>
      </c>
      <c r="J18" s="372">
        <v>0</v>
      </c>
      <c r="K18" s="726">
        <v>0</v>
      </c>
      <c r="L18" s="734">
        <v>0</v>
      </c>
    </row>
    <row r="19" spans="1:12" ht="24.95" customHeight="1" x14ac:dyDescent="0.3">
      <c r="A19" s="372" t="s">
        <v>390</v>
      </c>
      <c r="B19" s="422">
        <v>0</v>
      </c>
      <c r="C19" s="726"/>
      <c r="D19" s="734"/>
      <c r="E19" s="372">
        <v>0</v>
      </c>
      <c r="F19" s="726"/>
      <c r="G19" s="734"/>
      <c r="I19" s="372" t="s">
        <v>390</v>
      </c>
      <c r="J19" s="372"/>
      <c r="K19" s="726">
        <v>0</v>
      </c>
      <c r="L19" s="734">
        <v>0</v>
      </c>
    </row>
    <row r="20" spans="1:12" s="415" customFormat="1" ht="24.95" customHeight="1" x14ac:dyDescent="0.3">
      <c r="A20" s="526" t="s">
        <v>12</v>
      </c>
      <c r="B20" s="423">
        <v>0</v>
      </c>
      <c r="C20" s="727">
        <v>0</v>
      </c>
      <c r="D20" s="735">
        <v>0</v>
      </c>
      <c r="E20" s="375">
        <v>0</v>
      </c>
      <c r="F20" s="727">
        <v>0</v>
      </c>
      <c r="G20" s="735">
        <v>0</v>
      </c>
      <c r="I20" s="526" t="s">
        <v>12</v>
      </c>
      <c r="J20" s="375">
        <v>0</v>
      </c>
      <c r="K20" s="727">
        <v>0</v>
      </c>
      <c r="L20" s="735">
        <v>0</v>
      </c>
    </row>
    <row r="21" spans="1:12" ht="24.95" customHeight="1" x14ac:dyDescent="0.3">
      <c r="A21" s="372" t="s">
        <v>391</v>
      </c>
      <c r="B21" s="422">
        <v>0</v>
      </c>
      <c r="C21" s="726"/>
      <c r="D21" s="734"/>
      <c r="E21" s="372">
        <v>0</v>
      </c>
      <c r="F21" s="726"/>
      <c r="G21" s="734"/>
      <c r="I21" s="372" t="s">
        <v>391</v>
      </c>
      <c r="J21" s="372">
        <v>0</v>
      </c>
      <c r="K21" s="726">
        <v>0</v>
      </c>
      <c r="L21" s="734">
        <v>0</v>
      </c>
    </row>
    <row r="22" spans="1:12" ht="24.95" customHeight="1" x14ac:dyDescent="0.3">
      <c r="A22" s="372" t="s">
        <v>392</v>
      </c>
      <c r="B22" s="422">
        <v>0</v>
      </c>
      <c r="C22" s="726"/>
      <c r="D22" s="734"/>
      <c r="E22" s="372">
        <v>0</v>
      </c>
      <c r="F22" s="726"/>
      <c r="G22" s="734"/>
      <c r="I22" s="372" t="s">
        <v>392</v>
      </c>
      <c r="J22" s="372">
        <v>0</v>
      </c>
      <c r="K22" s="726">
        <v>0</v>
      </c>
      <c r="L22" s="734">
        <v>0</v>
      </c>
    </row>
    <row r="23" spans="1:12" ht="24.95" customHeight="1" x14ac:dyDescent="0.3">
      <c r="A23" s="372" t="s">
        <v>393</v>
      </c>
      <c r="B23" s="422">
        <v>0</v>
      </c>
      <c r="C23" s="726"/>
      <c r="D23" s="734"/>
      <c r="E23" s="372">
        <v>0</v>
      </c>
      <c r="F23" s="726"/>
      <c r="G23" s="734"/>
      <c r="I23" s="372" t="s">
        <v>393</v>
      </c>
      <c r="J23" s="372">
        <v>0</v>
      </c>
      <c r="K23" s="726">
        <v>0</v>
      </c>
      <c r="L23" s="734">
        <v>0</v>
      </c>
    </row>
    <row r="24" spans="1:12" ht="24.95" customHeight="1" x14ac:dyDescent="0.3">
      <c r="A24" s="372" t="s">
        <v>394</v>
      </c>
      <c r="B24" s="422">
        <v>0</v>
      </c>
      <c r="C24" s="726"/>
      <c r="D24" s="734"/>
      <c r="E24" s="372">
        <v>0</v>
      </c>
      <c r="F24" s="726"/>
      <c r="G24" s="734"/>
      <c r="I24" s="372" t="s">
        <v>394</v>
      </c>
      <c r="J24" s="372">
        <v>0</v>
      </c>
      <c r="K24" s="726">
        <v>0</v>
      </c>
      <c r="L24" s="734">
        <v>0</v>
      </c>
    </row>
    <row r="25" spans="1:12" ht="24.95" customHeight="1" x14ac:dyDescent="0.3">
      <c r="A25" s="413"/>
      <c r="B25" s="424"/>
      <c r="C25" s="728"/>
      <c r="D25" s="736"/>
      <c r="E25" s="377"/>
      <c r="F25" s="728"/>
      <c r="G25" s="736"/>
      <c r="I25" s="377"/>
      <c r="J25" s="377"/>
      <c r="K25" s="728"/>
      <c r="L25" s="736"/>
    </row>
    <row r="26" spans="1:12" x14ac:dyDescent="0.3">
      <c r="K26" s="339"/>
      <c r="L26" s="339"/>
    </row>
    <row r="27" spans="1:12" x14ac:dyDescent="0.3">
      <c r="K27" s="339"/>
      <c r="L27" s="339"/>
    </row>
    <row r="28" spans="1:12" x14ac:dyDescent="0.3">
      <c r="K28" s="339"/>
      <c r="L28" s="339"/>
    </row>
    <row r="29" spans="1:12" x14ac:dyDescent="0.3">
      <c r="K29" s="339"/>
      <c r="L29" s="339"/>
    </row>
    <row r="30" spans="1:12" x14ac:dyDescent="0.3">
      <c r="K30" s="339"/>
      <c r="L30" s="339"/>
    </row>
    <row r="31" spans="1:12" x14ac:dyDescent="0.3">
      <c r="K31" s="339"/>
      <c r="L31" s="339"/>
    </row>
    <row r="32" spans="1:12" x14ac:dyDescent="0.3">
      <c r="K32" s="339"/>
      <c r="L32" s="339"/>
    </row>
    <row r="33" spans="1:12" x14ac:dyDescent="0.3">
      <c r="K33" s="339"/>
      <c r="L33" s="339"/>
    </row>
    <row r="34" spans="1:12" x14ac:dyDescent="0.3">
      <c r="K34" s="339"/>
      <c r="L34" s="339"/>
    </row>
    <row r="35" spans="1:12" x14ac:dyDescent="0.3">
      <c r="K35" s="339"/>
      <c r="L35" s="339"/>
    </row>
    <row r="36" spans="1:12" x14ac:dyDescent="0.3">
      <c r="K36" s="339"/>
      <c r="L36" s="339"/>
    </row>
    <row r="37" spans="1:12" x14ac:dyDescent="0.3">
      <c r="A37" s="3513" t="s">
        <v>0</v>
      </c>
      <c r="B37" s="3515" t="s">
        <v>1</v>
      </c>
      <c r="C37" s="3515"/>
      <c r="D37" s="3515"/>
      <c r="E37" s="3515" t="s">
        <v>3</v>
      </c>
      <c r="F37" s="3515"/>
      <c r="G37" s="3515"/>
      <c r="K37" s="339"/>
      <c r="L37" s="339"/>
    </row>
    <row r="38" spans="1:12" x14ac:dyDescent="0.3">
      <c r="A38" s="3514"/>
      <c r="B38" s="418" t="s">
        <v>28</v>
      </c>
      <c r="C38" s="723" t="s">
        <v>34</v>
      </c>
      <c r="D38" s="731" t="s">
        <v>62</v>
      </c>
      <c r="E38" s="380" t="s">
        <v>28</v>
      </c>
      <c r="F38" s="723" t="s">
        <v>34</v>
      </c>
      <c r="G38" s="731" t="s">
        <v>62</v>
      </c>
      <c r="K38" s="339"/>
      <c r="L38" s="339"/>
    </row>
    <row r="39" spans="1:12" ht="19.5" thickBot="1" x14ac:dyDescent="0.35">
      <c r="A39" s="419" t="s">
        <v>28</v>
      </c>
      <c r="B39" s="420">
        <v>0</v>
      </c>
      <c r="C39" s="724">
        <v>0</v>
      </c>
      <c r="D39" s="737">
        <v>0</v>
      </c>
      <c r="E39" s="367">
        <v>0</v>
      </c>
      <c r="F39" s="724">
        <v>0</v>
      </c>
      <c r="G39" s="732">
        <v>0</v>
      </c>
      <c r="K39" s="339"/>
      <c r="L39" s="339"/>
    </row>
    <row r="40" spans="1:12" ht="19.5" thickTop="1" x14ac:dyDescent="0.3">
      <c r="A40" s="369" t="s">
        <v>7</v>
      </c>
      <c r="B40" s="421">
        <v>0</v>
      </c>
      <c r="C40" s="725">
        <v>0</v>
      </c>
      <c r="D40" s="733">
        <v>0</v>
      </c>
      <c r="E40" s="370">
        <v>0</v>
      </c>
      <c r="F40" s="725">
        <v>0</v>
      </c>
      <c r="G40" s="733">
        <v>0</v>
      </c>
      <c r="K40" s="339"/>
      <c r="L40" s="339"/>
    </row>
    <row r="41" spans="1:12" x14ac:dyDescent="0.3">
      <c r="A41" s="398" t="s">
        <v>8</v>
      </c>
      <c r="B41" s="422">
        <v>0</v>
      </c>
      <c r="C41" s="726"/>
      <c r="D41" s="734"/>
      <c r="E41" s="372">
        <v>0</v>
      </c>
      <c r="F41" s="726"/>
      <c r="G41" s="734"/>
      <c r="K41" s="339"/>
      <c r="L41" s="339"/>
    </row>
    <row r="42" spans="1:12" x14ac:dyDescent="0.3">
      <c r="A42" s="398" t="s">
        <v>306</v>
      </c>
      <c r="B42" s="422">
        <v>0</v>
      </c>
      <c r="C42" s="726"/>
      <c r="D42" s="734"/>
      <c r="E42" s="372">
        <v>0</v>
      </c>
      <c r="F42" s="726"/>
      <c r="G42" s="734"/>
      <c r="K42" s="339"/>
      <c r="L42" s="339"/>
    </row>
    <row r="43" spans="1:12" x14ac:dyDescent="0.3">
      <c r="A43" s="372"/>
      <c r="B43" s="422"/>
      <c r="C43" s="726"/>
      <c r="D43" s="734"/>
      <c r="E43" s="372"/>
      <c r="F43" s="726"/>
      <c r="G43" s="734"/>
      <c r="K43" s="339"/>
      <c r="L43" s="339"/>
    </row>
    <row r="44" spans="1:12" x14ac:dyDescent="0.3">
      <c r="A44" s="526" t="s">
        <v>9</v>
      </c>
      <c r="B44" s="423">
        <v>0</v>
      </c>
      <c r="C44" s="727">
        <v>0</v>
      </c>
      <c r="D44" s="735">
        <v>0</v>
      </c>
      <c r="E44" s="375">
        <v>0</v>
      </c>
      <c r="F44" s="727">
        <v>0</v>
      </c>
      <c r="G44" s="735">
        <v>0</v>
      </c>
      <c r="K44" s="339"/>
      <c r="L44" s="339"/>
    </row>
    <row r="45" spans="1:12" x14ac:dyDescent="0.3">
      <c r="A45" s="372" t="s">
        <v>308</v>
      </c>
      <c r="B45" s="422">
        <v>0</v>
      </c>
      <c r="C45" s="726"/>
      <c r="D45" s="734"/>
      <c r="E45" s="372">
        <v>0</v>
      </c>
      <c r="F45" s="726"/>
      <c r="G45" s="734"/>
      <c r="K45" s="339"/>
      <c r="L45" s="339"/>
    </row>
    <row r="46" spans="1:12" x14ac:dyDescent="0.3">
      <c r="A46" s="372" t="s">
        <v>309</v>
      </c>
      <c r="B46" s="422">
        <v>0</v>
      </c>
      <c r="C46" s="726"/>
      <c r="D46" s="734"/>
      <c r="E46" s="372">
        <v>0</v>
      </c>
      <c r="F46" s="726"/>
      <c r="G46" s="734"/>
      <c r="K46" s="339"/>
      <c r="L46" s="339"/>
    </row>
    <row r="47" spans="1:12" x14ac:dyDescent="0.3">
      <c r="A47" s="372" t="s">
        <v>310</v>
      </c>
      <c r="B47" s="422">
        <v>0</v>
      </c>
      <c r="C47" s="726"/>
      <c r="D47" s="734"/>
      <c r="E47" s="372">
        <v>0</v>
      </c>
      <c r="F47" s="726"/>
      <c r="G47" s="734"/>
      <c r="K47" s="339"/>
      <c r="L47" s="339"/>
    </row>
    <row r="48" spans="1:12" x14ac:dyDescent="0.3">
      <c r="A48" s="372" t="s">
        <v>311</v>
      </c>
      <c r="B48" s="422">
        <v>0</v>
      </c>
      <c r="C48" s="726"/>
      <c r="D48" s="734"/>
      <c r="E48" s="372">
        <v>0</v>
      </c>
      <c r="F48" s="726"/>
      <c r="G48" s="734"/>
      <c r="K48" s="339"/>
      <c r="L48" s="339"/>
    </row>
    <row r="49" spans="1:12" x14ac:dyDescent="0.3">
      <c r="A49" s="372" t="s">
        <v>312</v>
      </c>
      <c r="B49" s="422">
        <v>0</v>
      </c>
      <c r="C49" s="726"/>
      <c r="D49" s="734"/>
      <c r="E49" s="372">
        <v>0</v>
      </c>
      <c r="F49" s="726"/>
      <c r="G49" s="734"/>
      <c r="K49" s="339"/>
      <c r="L49" s="339"/>
    </row>
    <row r="50" spans="1:12" x14ac:dyDescent="0.3">
      <c r="A50" s="372" t="s">
        <v>313</v>
      </c>
      <c r="B50" s="422">
        <v>0</v>
      </c>
      <c r="C50" s="726"/>
      <c r="D50" s="734"/>
      <c r="E50" s="372">
        <v>0</v>
      </c>
      <c r="F50" s="726"/>
      <c r="G50" s="734"/>
      <c r="K50" s="339"/>
      <c r="L50" s="339"/>
    </row>
    <row r="51" spans="1:12" x14ac:dyDescent="0.3">
      <c r="A51" s="372" t="s">
        <v>314</v>
      </c>
      <c r="B51" s="422">
        <v>0</v>
      </c>
      <c r="C51" s="726"/>
      <c r="D51" s="734"/>
      <c r="E51" s="372"/>
      <c r="F51" s="726"/>
      <c r="G51" s="734"/>
      <c r="K51" s="339"/>
      <c r="L51" s="339"/>
    </row>
    <row r="52" spans="1:12" x14ac:dyDescent="0.3">
      <c r="A52" s="372" t="s">
        <v>315</v>
      </c>
      <c r="B52" s="422">
        <v>0</v>
      </c>
      <c r="C52" s="726"/>
      <c r="D52" s="734"/>
      <c r="E52" s="372"/>
      <c r="F52" s="726"/>
      <c r="G52" s="734"/>
      <c r="K52" s="339"/>
      <c r="L52" s="339"/>
    </row>
    <row r="53" spans="1:12" x14ac:dyDescent="0.3">
      <c r="A53" s="372" t="s">
        <v>390</v>
      </c>
      <c r="B53" s="422"/>
      <c r="C53" s="726"/>
      <c r="D53" s="734"/>
      <c r="E53" s="372"/>
      <c r="F53" s="726"/>
      <c r="G53" s="734"/>
      <c r="K53" s="339"/>
      <c r="L53" s="339"/>
    </row>
    <row r="54" spans="1:12" x14ac:dyDescent="0.3">
      <c r="A54" s="526" t="s">
        <v>12</v>
      </c>
      <c r="B54" s="423">
        <v>0</v>
      </c>
      <c r="C54" s="727">
        <v>0</v>
      </c>
      <c r="D54" s="735">
        <v>0</v>
      </c>
      <c r="E54" s="375">
        <v>0</v>
      </c>
      <c r="F54" s="727">
        <v>0</v>
      </c>
      <c r="G54" s="735">
        <v>0</v>
      </c>
      <c r="K54" s="339"/>
      <c r="L54" s="339"/>
    </row>
    <row r="55" spans="1:12" x14ac:dyDescent="0.3">
      <c r="A55" s="372" t="s">
        <v>391</v>
      </c>
      <c r="B55" s="422">
        <v>0</v>
      </c>
      <c r="C55" s="726"/>
      <c r="D55" s="734"/>
      <c r="E55" s="372">
        <v>0</v>
      </c>
      <c r="F55" s="726"/>
      <c r="G55" s="734"/>
      <c r="K55" s="339"/>
      <c r="L55" s="339"/>
    </row>
    <row r="56" spans="1:12" x14ac:dyDescent="0.3">
      <c r="A56" s="372" t="s">
        <v>392</v>
      </c>
      <c r="B56" s="422">
        <v>0</v>
      </c>
      <c r="C56" s="726"/>
      <c r="D56" s="734"/>
      <c r="E56" s="372">
        <v>0</v>
      </c>
      <c r="F56" s="726"/>
      <c r="G56" s="734"/>
      <c r="K56" s="339"/>
      <c r="L56" s="339"/>
    </row>
    <row r="57" spans="1:12" x14ac:dyDescent="0.3">
      <c r="A57" s="372" t="s">
        <v>393</v>
      </c>
      <c r="B57" s="422">
        <v>0</v>
      </c>
      <c r="C57" s="726"/>
      <c r="D57" s="734"/>
      <c r="E57" s="372">
        <v>0</v>
      </c>
      <c r="F57" s="726"/>
      <c r="G57" s="734"/>
      <c r="K57" s="339"/>
      <c r="L57" s="339"/>
    </row>
    <row r="58" spans="1:12" x14ac:dyDescent="0.3">
      <c r="A58" s="372" t="s">
        <v>394</v>
      </c>
      <c r="B58" s="422">
        <v>0</v>
      </c>
      <c r="C58" s="726"/>
      <c r="D58" s="734"/>
      <c r="E58" s="372">
        <v>0</v>
      </c>
      <c r="F58" s="726"/>
      <c r="G58" s="734"/>
      <c r="K58" s="339"/>
      <c r="L58" s="339"/>
    </row>
    <row r="59" spans="1:12" x14ac:dyDescent="0.3">
      <c r="A59" s="413"/>
      <c r="B59" s="424"/>
      <c r="C59" s="728"/>
      <c r="D59" s="736"/>
      <c r="E59" s="377"/>
      <c r="F59" s="728"/>
      <c r="G59" s="736"/>
      <c r="K59" s="339"/>
      <c r="L59" s="339"/>
    </row>
    <row r="60" spans="1:12" x14ac:dyDescent="0.3">
      <c r="K60" s="339"/>
      <c r="L60" s="339"/>
    </row>
    <row r="61" spans="1:12" x14ac:dyDescent="0.3">
      <c r="K61" s="339"/>
      <c r="L61" s="339"/>
    </row>
    <row r="62" spans="1:12" x14ac:dyDescent="0.3">
      <c r="K62" s="339"/>
      <c r="L62" s="339"/>
    </row>
    <row r="63" spans="1:12" x14ac:dyDescent="0.3">
      <c r="K63" s="339"/>
      <c r="L63" s="339"/>
    </row>
    <row r="64" spans="1:12" x14ac:dyDescent="0.3">
      <c r="K64" s="339"/>
      <c r="L64" s="339"/>
    </row>
    <row r="65" spans="1:12" x14ac:dyDescent="0.3">
      <c r="K65" s="339"/>
      <c r="L65" s="339"/>
    </row>
    <row r="66" spans="1:12" x14ac:dyDescent="0.3">
      <c r="K66" s="339"/>
      <c r="L66" s="339"/>
    </row>
    <row r="67" spans="1:12" x14ac:dyDescent="0.3">
      <c r="K67" s="339"/>
      <c r="L67" s="339"/>
    </row>
    <row r="68" spans="1:12" x14ac:dyDescent="0.3">
      <c r="K68" s="339"/>
      <c r="L68" s="339"/>
    </row>
    <row r="69" spans="1:12" x14ac:dyDescent="0.3">
      <c r="K69" s="339"/>
      <c r="L69" s="339"/>
    </row>
    <row r="70" spans="1:12" x14ac:dyDescent="0.3">
      <c r="K70" s="339"/>
      <c r="L70" s="339"/>
    </row>
    <row r="71" spans="1:12" x14ac:dyDescent="0.3">
      <c r="K71" s="339"/>
      <c r="L71" s="339"/>
    </row>
    <row r="72" spans="1:12" x14ac:dyDescent="0.3">
      <c r="K72" s="339"/>
      <c r="L72" s="339"/>
    </row>
    <row r="73" spans="1:12" x14ac:dyDescent="0.3">
      <c r="K73" s="339"/>
      <c r="L73" s="339"/>
    </row>
    <row r="74" spans="1:12" x14ac:dyDescent="0.3">
      <c r="A74" s="3513" t="s">
        <v>0</v>
      </c>
      <c r="B74" s="3515" t="s">
        <v>24</v>
      </c>
      <c r="C74" s="3515"/>
      <c r="D74" s="3515"/>
      <c r="E74" s="3515" t="s">
        <v>23</v>
      </c>
      <c r="F74" s="3515"/>
      <c r="G74" s="3515"/>
      <c r="K74" s="339"/>
      <c r="L74" s="339"/>
    </row>
    <row r="75" spans="1:12" x14ac:dyDescent="0.3">
      <c r="A75" s="3514"/>
      <c r="B75" s="418" t="s">
        <v>28</v>
      </c>
      <c r="C75" s="723" t="s">
        <v>34</v>
      </c>
      <c r="D75" s="731" t="s">
        <v>62</v>
      </c>
      <c r="E75" s="380" t="s">
        <v>28</v>
      </c>
      <c r="F75" s="723" t="s">
        <v>34</v>
      </c>
      <c r="G75" s="731" t="s">
        <v>62</v>
      </c>
      <c r="K75" s="339"/>
      <c r="L75" s="339"/>
    </row>
    <row r="76" spans="1:12" ht="19.5" thickBot="1" x14ac:dyDescent="0.35">
      <c r="A76" s="419" t="s">
        <v>28</v>
      </c>
      <c r="B76" s="420">
        <v>19650</v>
      </c>
      <c r="C76" s="724">
        <v>0</v>
      </c>
      <c r="D76" s="732">
        <v>19650</v>
      </c>
      <c r="E76" s="367">
        <v>0</v>
      </c>
      <c r="F76" s="724">
        <v>0</v>
      </c>
      <c r="G76" s="732">
        <v>0</v>
      </c>
      <c r="K76" s="339"/>
      <c r="L76" s="339"/>
    </row>
    <row r="77" spans="1:12" ht="19.5" thickTop="1" x14ac:dyDescent="0.3">
      <c r="A77" s="369" t="s">
        <v>7</v>
      </c>
      <c r="B77" s="421">
        <v>0</v>
      </c>
      <c r="C77" s="725">
        <v>0</v>
      </c>
      <c r="D77" s="733">
        <v>0</v>
      </c>
      <c r="E77" s="370">
        <v>0</v>
      </c>
      <c r="F77" s="725">
        <v>0</v>
      </c>
      <c r="G77" s="733">
        <v>0</v>
      </c>
      <c r="K77" s="339"/>
      <c r="L77" s="339"/>
    </row>
    <row r="78" spans="1:12" s="596" customFormat="1" x14ac:dyDescent="0.3">
      <c r="A78" s="398" t="s">
        <v>8</v>
      </c>
      <c r="B78" s="422">
        <v>0</v>
      </c>
      <c r="C78" s="726">
        <v>0</v>
      </c>
      <c r="D78" s="734">
        <v>0</v>
      </c>
      <c r="E78" s="372">
        <v>0</v>
      </c>
      <c r="F78" s="743"/>
      <c r="G78" s="741"/>
      <c r="I78" s="339"/>
      <c r="J78" s="339"/>
      <c r="K78" s="339"/>
      <c r="L78" s="339"/>
    </row>
    <row r="79" spans="1:12" x14ac:dyDescent="0.3">
      <c r="A79" s="398" t="s">
        <v>306</v>
      </c>
      <c r="B79" s="422">
        <v>0</v>
      </c>
      <c r="C79" s="726">
        <v>0</v>
      </c>
      <c r="D79" s="734">
        <v>0</v>
      </c>
      <c r="E79" s="372">
        <v>0</v>
      </c>
      <c r="F79" s="743"/>
      <c r="G79" s="741"/>
      <c r="K79" s="339"/>
      <c r="L79" s="339"/>
    </row>
    <row r="80" spans="1:12" x14ac:dyDescent="0.3">
      <c r="A80" s="372"/>
      <c r="B80" s="422"/>
      <c r="C80" s="726"/>
      <c r="D80" s="734"/>
      <c r="E80" s="372"/>
      <c r="F80" s="726"/>
      <c r="G80" s="734"/>
      <c r="K80" s="339"/>
      <c r="L80" s="339"/>
    </row>
    <row r="81" spans="1:12" x14ac:dyDescent="0.3">
      <c r="A81" s="526" t="s">
        <v>9</v>
      </c>
      <c r="B81" s="423">
        <v>19650</v>
      </c>
      <c r="C81" s="727">
        <v>0</v>
      </c>
      <c r="D81" s="735">
        <v>19650</v>
      </c>
      <c r="E81" s="375">
        <v>0</v>
      </c>
      <c r="F81" s="727">
        <v>0</v>
      </c>
      <c r="G81" s="735">
        <v>0</v>
      </c>
      <c r="K81" s="339"/>
      <c r="L81" s="339"/>
    </row>
    <row r="82" spans="1:12" x14ac:dyDescent="0.3">
      <c r="A82" s="372" t="s">
        <v>308</v>
      </c>
      <c r="B82" s="422">
        <v>19650</v>
      </c>
      <c r="C82" s="726">
        <v>0</v>
      </c>
      <c r="D82" s="734">
        <v>19650</v>
      </c>
      <c r="E82" s="372">
        <v>0</v>
      </c>
      <c r="F82" s="743"/>
      <c r="G82" s="741"/>
      <c r="K82" s="339"/>
      <c r="L82" s="339"/>
    </row>
    <row r="83" spans="1:12" x14ac:dyDescent="0.3">
      <c r="A83" s="372" t="s">
        <v>309</v>
      </c>
      <c r="B83" s="422">
        <v>0</v>
      </c>
      <c r="C83" s="726">
        <v>0</v>
      </c>
      <c r="D83" s="734">
        <v>0</v>
      </c>
      <c r="E83" s="372">
        <v>0</v>
      </c>
      <c r="F83" s="743"/>
      <c r="G83" s="741"/>
      <c r="K83" s="339"/>
      <c r="L83" s="339"/>
    </row>
    <row r="84" spans="1:12" x14ac:dyDescent="0.3">
      <c r="A84" s="372" t="s">
        <v>310</v>
      </c>
      <c r="B84" s="422">
        <v>0</v>
      </c>
      <c r="C84" s="726">
        <v>0</v>
      </c>
      <c r="D84" s="734">
        <v>0</v>
      </c>
      <c r="E84" s="372">
        <v>0</v>
      </c>
      <c r="F84" s="743"/>
      <c r="G84" s="741"/>
      <c r="K84" s="339"/>
      <c r="L84" s="339"/>
    </row>
    <row r="85" spans="1:12" x14ac:dyDescent="0.3">
      <c r="A85" s="372" t="s">
        <v>311</v>
      </c>
      <c r="B85" s="422">
        <v>0</v>
      </c>
      <c r="C85" s="726">
        <v>0</v>
      </c>
      <c r="D85" s="734">
        <v>0</v>
      </c>
      <c r="E85" s="372">
        <v>0</v>
      </c>
      <c r="F85" s="743"/>
      <c r="G85" s="741"/>
      <c r="K85" s="339"/>
      <c r="L85" s="339"/>
    </row>
    <row r="86" spans="1:12" x14ac:dyDescent="0.3">
      <c r="A86" s="372" t="s">
        <v>312</v>
      </c>
      <c r="B86" s="422">
        <v>0</v>
      </c>
      <c r="C86" s="726">
        <v>0</v>
      </c>
      <c r="D86" s="734">
        <v>0</v>
      </c>
      <c r="E86" s="372">
        <v>0</v>
      </c>
      <c r="F86" s="743"/>
      <c r="G86" s="741"/>
      <c r="K86" s="339"/>
      <c r="L86" s="339"/>
    </row>
    <row r="87" spans="1:12" x14ac:dyDescent="0.3">
      <c r="A87" s="372" t="s">
        <v>313</v>
      </c>
      <c r="B87" s="422">
        <v>0</v>
      </c>
      <c r="C87" s="726">
        <v>0</v>
      </c>
      <c r="D87" s="734">
        <v>0</v>
      </c>
      <c r="E87" s="372">
        <v>0</v>
      </c>
      <c r="F87" s="743"/>
      <c r="G87" s="741"/>
      <c r="K87" s="339"/>
      <c r="L87" s="339"/>
    </row>
    <row r="88" spans="1:12" x14ac:dyDescent="0.3">
      <c r="A88" s="372" t="s">
        <v>314</v>
      </c>
      <c r="B88" s="422"/>
      <c r="C88" s="726">
        <v>0</v>
      </c>
      <c r="D88" s="734">
        <v>0</v>
      </c>
      <c r="E88" s="372"/>
      <c r="F88" s="743"/>
      <c r="G88" s="741"/>
      <c r="K88" s="339"/>
      <c r="L88" s="339"/>
    </row>
    <row r="89" spans="1:12" x14ac:dyDescent="0.3">
      <c r="A89" s="372" t="s">
        <v>315</v>
      </c>
      <c r="B89" s="422"/>
      <c r="C89" s="726">
        <v>0</v>
      </c>
      <c r="D89" s="734">
        <v>0</v>
      </c>
      <c r="E89" s="372"/>
      <c r="F89" s="743"/>
      <c r="G89" s="741"/>
      <c r="K89" s="339"/>
      <c r="L89" s="339"/>
    </row>
    <row r="90" spans="1:12" x14ac:dyDescent="0.3">
      <c r="A90" s="372" t="s">
        <v>390</v>
      </c>
      <c r="B90" s="422"/>
      <c r="C90" s="726">
        <v>0</v>
      </c>
      <c r="D90" s="734">
        <v>0</v>
      </c>
      <c r="E90" s="372"/>
      <c r="F90" s="726"/>
      <c r="G90" s="734"/>
      <c r="K90" s="339"/>
      <c r="L90" s="339"/>
    </row>
    <row r="91" spans="1:12" x14ac:dyDescent="0.3">
      <c r="A91" s="526" t="s">
        <v>12</v>
      </c>
      <c r="B91" s="423">
        <v>0</v>
      </c>
      <c r="C91" s="727">
        <v>0</v>
      </c>
      <c r="D91" s="735">
        <v>0</v>
      </c>
      <c r="E91" s="375">
        <v>0</v>
      </c>
      <c r="F91" s="727">
        <v>0</v>
      </c>
      <c r="G91" s="735">
        <v>0</v>
      </c>
      <c r="K91" s="339"/>
      <c r="L91" s="339"/>
    </row>
    <row r="92" spans="1:12" s="339" customFormat="1" x14ac:dyDescent="0.3">
      <c r="A92" s="372" t="s">
        <v>391</v>
      </c>
      <c r="B92" s="372">
        <v>0</v>
      </c>
      <c r="C92" s="726">
        <v>0</v>
      </c>
      <c r="D92" s="734">
        <v>0</v>
      </c>
      <c r="E92" s="372">
        <v>0</v>
      </c>
      <c r="F92" s="743"/>
      <c r="G92" s="741"/>
    </row>
    <row r="93" spans="1:12" s="339" customFormat="1" x14ac:dyDescent="0.3">
      <c r="A93" s="372" t="s">
        <v>392</v>
      </c>
      <c r="B93" s="372">
        <v>0</v>
      </c>
      <c r="C93" s="726">
        <v>0</v>
      </c>
      <c r="D93" s="734">
        <v>0</v>
      </c>
      <c r="E93" s="372">
        <v>0</v>
      </c>
      <c r="F93" s="743"/>
      <c r="G93" s="741"/>
    </row>
    <row r="94" spans="1:12" s="339" customFormat="1" x14ac:dyDescent="0.3">
      <c r="A94" s="372" t="s">
        <v>393</v>
      </c>
      <c r="B94" s="372">
        <v>0</v>
      </c>
      <c r="C94" s="726">
        <v>0</v>
      </c>
      <c r="D94" s="734">
        <v>0</v>
      </c>
      <c r="E94" s="372">
        <v>0</v>
      </c>
      <c r="F94" s="743"/>
      <c r="G94" s="741"/>
    </row>
    <row r="95" spans="1:12" s="339" customFormat="1" x14ac:dyDescent="0.3">
      <c r="A95" s="372" t="s">
        <v>394</v>
      </c>
      <c r="B95" s="372">
        <v>0</v>
      </c>
      <c r="C95" s="726">
        <v>0</v>
      </c>
      <c r="D95" s="734">
        <v>0</v>
      </c>
      <c r="E95" s="372">
        <v>0</v>
      </c>
      <c r="F95" s="743"/>
      <c r="G95" s="741"/>
    </row>
    <row r="96" spans="1:12" s="379" customFormat="1" x14ac:dyDescent="0.3">
      <c r="A96" s="373" t="s">
        <v>998</v>
      </c>
      <c r="B96" s="372">
        <v>0</v>
      </c>
      <c r="C96" s="726"/>
      <c r="D96" s="734"/>
      <c r="E96" s="372">
        <v>0</v>
      </c>
      <c r="F96" s="726"/>
      <c r="G96" s="741"/>
      <c r="I96" s="339"/>
      <c r="J96" s="339"/>
      <c r="K96" s="339"/>
      <c r="L96" s="339"/>
    </row>
    <row r="97" spans="1:12" s="379" customFormat="1" ht="16.5" customHeight="1" x14ac:dyDescent="0.3">
      <c r="A97" s="373"/>
      <c r="B97" s="372"/>
      <c r="C97" s="726"/>
      <c r="D97" s="734"/>
      <c r="E97" s="372"/>
      <c r="F97" s="743"/>
      <c r="G97" s="741"/>
      <c r="I97" s="339"/>
      <c r="J97" s="339"/>
      <c r="K97" s="339"/>
      <c r="L97" s="339"/>
    </row>
    <row r="98" spans="1:12" s="379" customFormat="1" x14ac:dyDescent="0.3">
      <c r="A98" s="373"/>
      <c r="B98" s="372"/>
      <c r="C98" s="726"/>
      <c r="D98" s="734"/>
      <c r="E98" s="372"/>
      <c r="F98" s="743"/>
      <c r="G98" s="741"/>
      <c r="I98" s="339"/>
      <c r="J98" s="339"/>
      <c r="K98" s="339"/>
      <c r="L98" s="339"/>
    </row>
    <row r="99" spans="1:12" s="379" customFormat="1" x14ac:dyDescent="0.3">
      <c r="A99" s="373"/>
      <c r="B99" s="372"/>
      <c r="C99" s="726"/>
      <c r="D99" s="734"/>
      <c r="E99" s="372"/>
      <c r="F99" s="743"/>
      <c r="G99" s="741"/>
      <c r="I99" s="339"/>
      <c r="J99" s="339"/>
      <c r="K99" s="339"/>
      <c r="L99" s="339"/>
    </row>
    <row r="100" spans="1:12" s="721" customFormat="1" x14ac:dyDescent="0.3">
      <c r="A100" s="378"/>
      <c r="B100" s="377"/>
      <c r="C100" s="728"/>
      <c r="D100" s="736"/>
      <c r="E100" s="377"/>
      <c r="F100" s="746"/>
      <c r="G100" s="749"/>
      <c r="I100" s="339"/>
      <c r="J100" s="339"/>
      <c r="K100" s="339"/>
      <c r="L100" s="339"/>
    </row>
    <row r="101" spans="1:12" s="339" customFormat="1" x14ac:dyDescent="0.3"/>
    <row r="102" spans="1:12" s="339" customFormat="1" x14ac:dyDescent="0.3"/>
    <row r="103" spans="1:12" x14ac:dyDescent="0.3">
      <c r="K103" s="339"/>
      <c r="L103" s="339"/>
    </row>
    <row r="104" spans="1:12" x14ac:dyDescent="0.3">
      <c r="K104" s="339"/>
      <c r="L104" s="339"/>
    </row>
    <row r="105" spans="1:12" x14ac:dyDescent="0.3">
      <c r="K105" s="339"/>
      <c r="L105" s="339"/>
    </row>
    <row r="106" spans="1:12" x14ac:dyDescent="0.3">
      <c r="K106" s="339"/>
      <c r="L106" s="339"/>
    </row>
    <row r="107" spans="1:12" x14ac:dyDescent="0.3">
      <c r="K107" s="339"/>
      <c r="L107" s="339"/>
    </row>
    <row r="108" spans="1:12" x14ac:dyDescent="0.3">
      <c r="K108" s="339"/>
      <c r="L108" s="339"/>
    </row>
    <row r="109" spans="1:12" x14ac:dyDescent="0.3">
      <c r="K109" s="339"/>
      <c r="L109" s="339"/>
    </row>
    <row r="110" spans="1:12" x14ac:dyDescent="0.3">
      <c r="K110" s="339"/>
      <c r="L110" s="339"/>
    </row>
    <row r="111" spans="1:12" x14ac:dyDescent="0.3">
      <c r="K111" s="339"/>
      <c r="L111" s="339"/>
    </row>
    <row r="112" spans="1:12" x14ac:dyDescent="0.3">
      <c r="K112" s="339"/>
      <c r="L112" s="339"/>
    </row>
    <row r="113" spans="1:12" x14ac:dyDescent="0.3">
      <c r="K113" s="339"/>
      <c r="L113" s="339"/>
    </row>
    <row r="114" spans="1:12" x14ac:dyDescent="0.3">
      <c r="K114" s="339"/>
      <c r="L114" s="339"/>
    </row>
    <row r="115" spans="1:12" x14ac:dyDescent="0.3">
      <c r="A115" s="3513" t="s">
        <v>0</v>
      </c>
      <c r="B115" s="3515" t="s">
        <v>4</v>
      </c>
      <c r="C115" s="3515"/>
      <c r="D115" s="3515"/>
      <c r="E115" s="3515" t="s">
        <v>20</v>
      </c>
      <c r="F115" s="3515"/>
      <c r="G115" s="3515"/>
      <c r="K115" s="339"/>
      <c r="L115" s="339"/>
    </row>
    <row r="116" spans="1:12" x14ac:dyDescent="0.3">
      <c r="A116" s="3514"/>
      <c r="B116" s="418" t="s">
        <v>28</v>
      </c>
      <c r="C116" s="723" t="s">
        <v>34</v>
      </c>
      <c r="D116" s="731" t="s">
        <v>62</v>
      </c>
      <c r="E116" s="380" t="s">
        <v>28</v>
      </c>
      <c r="F116" s="723" t="s">
        <v>34</v>
      </c>
      <c r="G116" s="731" t="s">
        <v>62</v>
      </c>
      <c r="K116" s="339"/>
      <c r="L116" s="339"/>
    </row>
    <row r="117" spans="1:12" ht="19.5" thickBot="1" x14ac:dyDescent="0.35">
      <c r="A117" s="419" t="s">
        <v>28</v>
      </c>
      <c r="B117" s="420">
        <v>0</v>
      </c>
      <c r="C117" s="724">
        <v>0</v>
      </c>
      <c r="D117" s="732">
        <v>0</v>
      </c>
      <c r="E117" s="367">
        <v>0</v>
      </c>
      <c r="F117" s="724">
        <v>0</v>
      </c>
      <c r="G117" s="732">
        <v>0</v>
      </c>
      <c r="K117" s="339"/>
      <c r="L117" s="339"/>
    </row>
    <row r="118" spans="1:12" ht="19.5" thickTop="1" x14ac:dyDescent="0.3">
      <c r="A118" s="369" t="s">
        <v>7</v>
      </c>
      <c r="B118" s="421">
        <v>0</v>
      </c>
      <c r="C118" s="725">
        <v>0</v>
      </c>
      <c r="D118" s="733">
        <v>0</v>
      </c>
      <c r="E118" s="370">
        <v>0</v>
      </c>
      <c r="F118" s="725">
        <v>0</v>
      </c>
      <c r="G118" s="733">
        <v>0</v>
      </c>
      <c r="K118" s="339"/>
      <c r="L118" s="339"/>
    </row>
    <row r="119" spans="1:12" x14ac:dyDescent="0.3">
      <c r="A119" s="398" t="s">
        <v>8</v>
      </c>
      <c r="B119" s="422">
        <v>0</v>
      </c>
      <c r="C119" s="726"/>
      <c r="D119" s="734"/>
      <c r="E119" s="372">
        <v>0</v>
      </c>
      <c r="F119" s="726"/>
      <c r="G119" s="734"/>
      <c r="K119" s="339"/>
      <c r="L119" s="339"/>
    </row>
    <row r="120" spans="1:12" x14ac:dyDescent="0.3">
      <c r="A120" s="398" t="s">
        <v>306</v>
      </c>
      <c r="B120" s="422">
        <v>0</v>
      </c>
      <c r="C120" s="726"/>
      <c r="D120" s="734"/>
      <c r="E120" s="372">
        <v>0</v>
      </c>
      <c r="F120" s="726"/>
      <c r="G120" s="734"/>
      <c r="K120" s="339"/>
      <c r="L120" s="339"/>
    </row>
    <row r="121" spans="1:12" x14ac:dyDescent="0.3">
      <c r="A121" s="372"/>
      <c r="B121" s="422"/>
      <c r="C121" s="726"/>
      <c r="D121" s="734"/>
      <c r="E121" s="372"/>
      <c r="F121" s="726"/>
      <c r="G121" s="734"/>
      <c r="K121" s="339"/>
      <c r="L121" s="339"/>
    </row>
    <row r="122" spans="1:12" x14ac:dyDescent="0.3">
      <c r="A122" s="526" t="s">
        <v>9</v>
      </c>
      <c r="B122" s="422">
        <v>0</v>
      </c>
      <c r="C122" s="728">
        <v>0</v>
      </c>
      <c r="D122" s="736">
        <v>0</v>
      </c>
      <c r="E122" s="372">
        <v>0</v>
      </c>
      <c r="F122" s="728">
        <v>0</v>
      </c>
      <c r="G122" s="736">
        <v>0</v>
      </c>
      <c r="K122" s="339"/>
      <c r="L122" s="339"/>
    </row>
    <row r="123" spans="1:12" x14ac:dyDescent="0.3">
      <c r="A123" s="372" t="s">
        <v>308</v>
      </c>
      <c r="B123" s="933">
        <v>0</v>
      </c>
      <c r="C123" s="726"/>
      <c r="D123" s="734"/>
      <c r="E123" s="934">
        <v>0</v>
      </c>
      <c r="F123" s="726"/>
      <c r="G123" s="734"/>
      <c r="K123" s="339"/>
      <c r="L123" s="339"/>
    </row>
    <row r="124" spans="1:12" x14ac:dyDescent="0.3">
      <c r="A124" s="372" t="s">
        <v>309</v>
      </c>
      <c r="B124" s="422">
        <v>0</v>
      </c>
      <c r="C124" s="726"/>
      <c r="D124" s="734"/>
      <c r="E124" s="372">
        <v>0</v>
      </c>
      <c r="F124" s="726"/>
      <c r="G124" s="734"/>
      <c r="K124" s="339"/>
      <c r="L124" s="339"/>
    </row>
    <row r="125" spans="1:12" x14ac:dyDescent="0.3">
      <c r="A125" s="372" t="s">
        <v>310</v>
      </c>
      <c r="B125" s="422">
        <v>0</v>
      </c>
      <c r="C125" s="726"/>
      <c r="D125" s="734"/>
      <c r="E125" s="372">
        <v>0</v>
      </c>
      <c r="F125" s="726"/>
      <c r="G125" s="734"/>
      <c r="K125" s="339"/>
      <c r="L125" s="339"/>
    </row>
    <row r="126" spans="1:12" x14ac:dyDescent="0.3">
      <c r="A126" s="372" t="s">
        <v>311</v>
      </c>
      <c r="B126" s="422">
        <v>0</v>
      </c>
      <c r="C126" s="726"/>
      <c r="D126" s="734"/>
      <c r="E126" s="372">
        <v>0</v>
      </c>
      <c r="F126" s="726"/>
      <c r="G126" s="734"/>
      <c r="K126" s="339"/>
      <c r="L126" s="339"/>
    </row>
    <row r="127" spans="1:12" x14ac:dyDescent="0.3">
      <c r="A127" s="372" t="s">
        <v>312</v>
      </c>
      <c r="B127" s="422">
        <v>0</v>
      </c>
      <c r="C127" s="726"/>
      <c r="D127" s="734"/>
      <c r="E127" s="372">
        <v>0</v>
      </c>
      <c r="F127" s="726"/>
      <c r="G127" s="734"/>
      <c r="K127" s="339"/>
      <c r="L127" s="339"/>
    </row>
    <row r="128" spans="1:12" x14ac:dyDescent="0.3">
      <c r="A128" s="372" t="s">
        <v>313</v>
      </c>
      <c r="B128" s="422">
        <v>0</v>
      </c>
      <c r="C128" s="726"/>
      <c r="D128" s="734"/>
      <c r="E128" s="372">
        <v>0</v>
      </c>
      <c r="F128" s="726"/>
      <c r="G128" s="734"/>
      <c r="K128" s="339"/>
      <c r="L128" s="339"/>
    </row>
    <row r="129" spans="1:12" x14ac:dyDescent="0.3">
      <c r="A129" s="372" t="s">
        <v>314</v>
      </c>
      <c r="B129" s="422">
        <v>0</v>
      </c>
      <c r="C129" s="726"/>
      <c r="D129" s="734"/>
      <c r="E129" s="372">
        <v>0</v>
      </c>
      <c r="F129" s="726"/>
      <c r="G129" s="734"/>
      <c r="K129" s="339"/>
      <c r="L129" s="339"/>
    </row>
    <row r="130" spans="1:12" x14ac:dyDescent="0.3">
      <c r="A130" s="372" t="s">
        <v>315</v>
      </c>
      <c r="B130" s="422"/>
      <c r="C130" s="726"/>
      <c r="D130" s="734"/>
      <c r="E130" s="372"/>
      <c r="F130" s="726"/>
      <c r="G130" s="734"/>
      <c r="K130" s="339"/>
      <c r="L130" s="339"/>
    </row>
    <row r="131" spans="1:12" x14ac:dyDescent="0.3">
      <c r="A131" s="372" t="s">
        <v>390</v>
      </c>
      <c r="B131" s="935"/>
      <c r="C131" s="936"/>
      <c r="D131" s="937"/>
      <c r="E131" s="526"/>
      <c r="F131" s="936"/>
      <c r="G131" s="937"/>
      <c r="K131" s="339"/>
      <c r="L131" s="339"/>
    </row>
    <row r="132" spans="1:12" x14ac:dyDescent="0.3">
      <c r="A132" s="526" t="s">
        <v>12</v>
      </c>
      <c r="B132" s="424">
        <v>0</v>
      </c>
      <c r="C132" s="728">
        <v>0</v>
      </c>
      <c r="D132" s="736">
        <v>0</v>
      </c>
      <c r="E132" s="377">
        <v>0</v>
      </c>
      <c r="F132" s="728">
        <v>0</v>
      </c>
      <c r="G132" s="736">
        <v>0</v>
      </c>
      <c r="K132" s="339"/>
      <c r="L132" s="339"/>
    </row>
    <row r="133" spans="1:12" x14ac:dyDescent="0.3">
      <c r="A133" s="372" t="s">
        <v>391</v>
      </c>
      <c r="B133" s="422">
        <v>0</v>
      </c>
      <c r="C133" s="726"/>
      <c r="D133" s="734"/>
      <c r="E133" s="372">
        <v>0</v>
      </c>
      <c r="F133" s="726"/>
      <c r="G133" s="734"/>
      <c r="K133" s="339"/>
      <c r="L133" s="339"/>
    </row>
    <row r="134" spans="1:12" x14ac:dyDescent="0.3">
      <c r="A134" s="372" t="s">
        <v>392</v>
      </c>
      <c r="B134" s="422">
        <v>0</v>
      </c>
      <c r="C134" s="726"/>
      <c r="D134" s="734"/>
      <c r="E134" s="372">
        <v>0</v>
      </c>
      <c r="F134" s="726"/>
      <c r="G134" s="734"/>
      <c r="K134" s="339"/>
      <c r="L134" s="339"/>
    </row>
    <row r="135" spans="1:12" x14ac:dyDescent="0.3">
      <c r="A135" s="372" t="s">
        <v>393</v>
      </c>
      <c r="B135" s="422">
        <v>0</v>
      </c>
      <c r="C135" s="726"/>
      <c r="D135" s="734"/>
      <c r="E135" s="372">
        <v>0</v>
      </c>
      <c r="F135" s="726"/>
      <c r="G135" s="734"/>
      <c r="K135" s="339"/>
      <c r="L135" s="339"/>
    </row>
    <row r="136" spans="1:12" x14ac:dyDescent="0.3">
      <c r="A136" s="372" t="s">
        <v>394</v>
      </c>
      <c r="B136" s="422">
        <v>0</v>
      </c>
      <c r="C136" s="726"/>
      <c r="D136" s="734"/>
      <c r="E136" s="372">
        <v>0</v>
      </c>
      <c r="F136" s="726"/>
      <c r="G136" s="734"/>
      <c r="K136" s="339"/>
      <c r="L136" s="339"/>
    </row>
    <row r="137" spans="1:12" x14ac:dyDescent="0.3">
      <c r="A137" s="413"/>
      <c r="B137" s="424"/>
      <c r="C137" s="728"/>
      <c r="D137" s="736"/>
      <c r="E137" s="377"/>
      <c r="F137" s="728"/>
      <c r="G137" s="736"/>
      <c r="K137" s="339"/>
      <c r="L137" s="339"/>
    </row>
    <row r="138" spans="1:12" x14ac:dyDescent="0.3">
      <c r="K138" s="339"/>
      <c r="L138" s="339"/>
    </row>
    <row r="139" spans="1:12" x14ac:dyDescent="0.3">
      <c r="K139" s="339"/>
      <c r="L139" s="339"/>
    </row>
    <row r="140" spans="1:12" x14ac:dyDescent="0.3">
      <c r="K140" s="339"/>
      <c r="L140" s="339"/>
    </row>
    <row r="141" spans="1:12" x14ac:dyDescent="0.3">
      <c r="K141" s="339"/>
      <c r="L141" s="339"/>
    </row>
    <row r="142" spans="1:12" x14ac:dyDescent="0.3">
      <c r="K142" s="339"/>
      <c r="L142" s="339"/>
    </row>
    <row r="143" spans="1:12" x14ac:dyDescent="0.3">
      <c r="K143" s="339"/>
      <c r="L143" s="339"/>
    </row>
    <row r="144" spans="1:12" x14ac:dyDescent="0.3">
      <c r="K144" s="339"/>
      <c r="L144" s="339"/>
    </row>
    <row r="145" spans="1:12" x14ac:dyDescent="0.3">
      <c r="K145" s="339"/>
      <c r="L145" s="339"/>
    </row>
    <row r="146" spans="1:12" x14ac:dyDescent="0.3">
      <c r="K146" s="339"/>
      <c r="L146" s="339"/>
    </row>
    <row r="147" spans="1:12" x14ac:dyDescent="0.3">
      <c r="K147" s="339"/>
      <c r="L147" s="339"/>
    </row>
    <row r="148" spans="1:12" x14ac:dyDescent="0.3">
      <c r="K148" s="339"/>
      <c r="L148" s="339"/>
    </row>
    <row r="149" spans="1:12" x14ac:dyDescent="0.3">
      <c r="K149" s="339"/>
      <c r="L149" s="339"/>
    </row>
    <row r="150" spans="1:12" x14ac:dyDescent="0.3">
      <c r="K150" s="339"/>
      <c r="L150" s="339"/>
    </row>
    <row r="151" spans="1:12" x14ac:dyDescent="0.3">
      <c r="K151" s="339"/>
      <c r="L151" s="339"/>
    </row>
    <row r="152" spans="1:12" x14ac:dyDescent="0.3">
      <c r="A152" s="3513" t="s">
        <v>0</v>
      </c>
      <c r="B152" s="3515" t="s">
        <v>5</v>
      </c>
      <c r="C152" s="3515"/>
      <c r="D152" s="3515"/>
      <c r="E152" s="3515" t="s">
        <v>21</v>
      </c>
      <c r="F152" s="3515"/>
      <c r="G152" s="3515"/>
      <c r="K152" s="339"/>
      <c r="L152" s="339"/>
    </row>
    <row r="153" spans="1:12" x14ac:dyDescent="0.3">
      <c r="A153" s="3514"/>
      <c r="B153" s="418" t="s">
        <v>28</v>
      </c>
      <c r="C153" s="723" t="s">
        <v>34</v>
      </c>
      <c r="D153" s="731" t="s">
        <v>62</v>
      </c>
      <c r="E153" s="380" t="s">
        <v>28</v>
      </c>
      <c r="F153" s="723" t="s">
        <v>34</v>
      </c>
      <c r="G153" s="731" t="s">
        <v>62</v>
      </c>
      <c r="K153" s="339"/>
      <c r="L153" s="339"/>
    </row>
    <row r="154" spans="1:12" ht="19.5" thickBot="1" x14ac:dyDescent="0.35">
      <c r="A154" s="419" t="s">
        <v>28</v>
      </c>
      <c r="B154" s="420">
        <v>0</v>
      </c>
      <c r="C154" s="724">
        <v>0</v>
      </c>
      <c r="D154" s="732">
        <v>0</v>
      </c>
      <c r="E154" s="368">
        <v>0</v>
      </c>
      <c r="F154" s="747">
        <v>0</v>
      </c>
      <c r="G154" s="732">
        <v>0</v>
      </c>
      <c r="K154" s="339"/>
      <c r="L154" s="339"/>
    </row>
    <row r="155" spans="1:12" ht="19.5" thickTop="1" x14ac:dyDescent="0.3">
      <c r="A155" s="369" t="s">
        <v>7</v>
      </c>
      <c r="B155" s="421">
        <v>0</v>
      </c>
      <c r="C155" s="725">
        <v>0</v>
      </c>
      <c r="D155" s="733">
        <v>0</v>
      </c>
      <c r="E155" s="370">
        <v>0</v>
      </c>
      <c r="F155" s="725">
        <v>0</v>
      </c>
      <c r="G155" s="733">
        <v>0</v>
      </c>
      <c r="K155" s="339"/>
      <c r="L155" s="339"/>
    </row>
    <row r="156" spans="1:12" x14ac:dyDescent="0.3">
      <c r="A156" s="398" t="s">
        <v>8</v>
      </c>
      <c r="B156" s="422">
        <v>0</v>
      </c>
      <c r="C156" s="726"/>
      <c r="D156" s="734"/>
      <c r="E156" s="372">
        <v>0</v>
      </c>
      <c r="F156" s="726"/>
      <c r="G156" s="734"/>
      <c r="K156" s="339"/>
      <c r="L156" s="339"/>
    </row>
    <row r="157" spans="1:12" x14ac:dyDescent="0.3">
      <c r="A157" s="398" t="s">
        <v>306</v>
      </c>
      <c r="B157" s="422">
        <v>0</v>
      </c>
      <c r="C157" s="726"/>
      <c r="D157" s="734"/>
      <c r="E157" s="372">
        <v>0</v>
      </c>
      <c r="F157" s="726"/>
      <c r="G157" s="734"/>
      <c r="K157" s="339"/>
      <c r="L157" s="339"/>
    </row>
    <row r="158" spans="1:12" x14ac:dyDescent="0.3">
      <c r="A158" s="372"/>
      <c r="B158" s="422"/>
      <c r="C158" s="726"/>
      <c r="D158" s="734"/>
      <c r="E158" s="372"/>
      <c r="F158" s="726"/>
      <c r="G158" s="734"/>
      <c r="K158" s="339"/>
      <c r="L158" s="339"/>
    </row>
    <row r="159" spans="1:12" x14ac:dyDescent="0.3">
      <c r="A159" s="526" t="s">
        <v>9</v>
      </c>
      <c r="B159" s="425">
        <v>0</v>
      </c>
      <c r="C159" s="727">
        <v>0</v>
      </c>
      <c r="D159" s="738">
        <v>0</v>
      </c>
      <c r="E159" s="375">
        <v>0</v>
      </c>
      <c r="F159" s="727">
        <v>0</v>
      </c>
      <c r="G159" s="735">
        <v>0</v>
      </c>
      <c r="K159" s="339"/>
      <c r="L159" s="339"/>
    </row>
    <row r="160" spans="1:12" x14ac:dyDescent="0.3">
      <c r="A160" s="372" t="s">
        <v>308</v>
      </c>
      <c r="B160" s="426">
        <v>0</v>
      </c>
      <c r="C160" s="726"/>
      <c r="D160" s="739"/>
      <c r="E160" s="372">
        <v>0</v>
      </c>
      <c r="F160" s="726"/>
      <c r="G160" s="734"/>
      <c r="K160" s="339"/>
      <c r="L160" s="339"/>
    </row>
    <row r="161" spans="1:12" x14ac:dyDescent="0.3">
      <c r="A161" s="372" t="s">
        <v>309</v>
      </c>
      <c r="B161" s="422">
        <v>0</v>
      </c>
      <c r="C161" s="726"/>
      <c r="D161" s="734"/>
      <c r="E161" s="372">
        <v>0</v>
      </c>
      <c r="F161" s="726"/>
      <c r="G161" s="734"/>
      <c r="K161" s="339"/>
      <c r="L161" s="339"/>
    </row>
    <row r="162" spans="1:12" x14ac:dyDescent="0.3">
      <c r="A162" s="372" t="s">
        <v>310</v>
      </c>
      <c r="B162" s="422">
        <v>0</v>
      </c>
      <c r="C162" s="726"/>
      <c r="D162" s="734"/>
      <c r="E162" s="372">
        <v>0</v>
      </c>
      <c r="F162" s="726"/>
      <c r="G162" s="734"/>
      <c r="K162" s="339"/>
      <c r="L162" s="339"/>
    </row>
    <row r="163" spans="1:12" x14ac:dyDescent="0.3">
      <c r="A163" s="372" t="s">
        <v>311</v>
      </c>
      <c r="B163" s="422">
        <v>0</v>
      </c>
      <c r="C163" s="726"/>
      <c r="D163" s="734"/>
      <c r="E163" s="372">
        <v>0</v>
      </c>
      <c r="F163" s="726"/>
      <c r="G163" s="734"/>
      <c r="K163" s="339"/>
      <c r="L163" s="339"/>
    </row>
    <row r="164" spans="1:12" x14ac:dyDescent="0.3">
      <c r="A164" s="372" t="s">
        <v>312</v>
      </c>
      <c r="B164" s="422">
        <v>0</v>
      </c>
      <c r="C164" s="726"/>
      <c r="D164" s="734"/>
      <c r="E164" s="372">
        <v>0</v>
      </c>
      <c r="F164" s="726"/>
      <c r="G164" s="734"/>
      <c r="K164" s="339"/>
      <c r="L164" s="339"/>
    </row>
    <row r="165" spans="1:12" x14ac:dyDescent="0.3">
      <c r="A165" s="372" t="s">
        <v>313</v>
      </c>
      <c r="B165" s="422">
        <v>0</v>
      </c>
      <c r="C165" s="726"/>
      <c r="D165" s="734"/>
      <c r="E165" s="372">
        <v>0</v>
      </c>
      <c r="F165" s="726"/>
      <c r="G165" s="734"/>
      <c r="K165" s="339"/>
      <c r="L165" s="339"/>
    </row>
    <row r="166" spans="1:12" x14ac:dyDescent="0.3">
      <c r="A166" s="372" t="s">
        <v>314</v>
      </c>
      <c r="B166" s="422">
        <v>0</v>
      </c>
      <c r="C166" s="726"/>
      <c r="D166" s="734"/>
      <c r="E166" s="372"/>
      <c r="F166" s="726"/>
      <c r="G166" s="734"/>
      <c r="K166" s="339"/>
      <c r="L166" s="339"/>
    </row>
    <row r="167" spans="1:12" x14ac:dyDescent="0.3">
      <c r="A167" s="372" t="s">
        <v>315</v>
      </c>
      <c r="B167" s="422">
        <v>0</v>
      </c>
      <c r="C167" s="726"/>
      <c r="D167" s="734"/>
      <c r="E167" s="372"/>
      <c r="F167" s="726"/>
      <c r="G167" s="734"/>
      <c r="K167" s="339"/>
      <c r="L167" s="339"/>
    </row>
    <row r="168" spans="1:12" x14ac:dyDescent="0.3">
      <c r="A168" s="372" t="s">
        <v>390</v>
      </c>
      <c r="B168" s="422"/>
      <c r="C168" s="726"/>
      <c r="D168" s="734"/>
      <c r="E168" s="372"/>
      <c r="F168" s="726"/>
      <c r="G168" s="734"/>
      <c r="K168" s="339"/>
      <c r="L168" s="339"/>
    </row>
    <row r="169" spans="1:12" x14ac:dyDescent="0.3">
      <c r="A169" s="526" t="s">
        <v>12</v>
      </c>
      <c r="B169" s="423">
        <v>0</v>
      </c>
      <c r="C169" s="727">
        <v>0</v>
      </c>
      <c r="D169" s="735">
        <v>0</v>
      </c>
      <c r="E169" s="376">
        <v>0</v>
      </c>
      <c r="F169" s="727">
        <v>0</v>
      </c>
      <c r="G169" s="735">
        <v>0</v>
      </c>
      <c r="K169" s="339"/>
      <c r="L169" s="339"/>
    </row>
    <row r="170" spans="1:12" x14ac:dyDescent="0.3">
      <c r="A170" s="372" t="s">
        <v>391</v>
      </c>
      <c r="B170" s="422">
        <v>0</v>
      </c>
      <c r="C170" s="726"/>
      <c r="D170" s="734"/>
      <c r="E170" s="372">
        <v>0</v>
      </c>
      <c r="F170" s="726"/>
      <c r="G170" s="734"/>
      <c r="K170" s="339"/>
      <c r="L170" s="339"/>
    </row>
    <row r="171" spans="1:12" x14ac:dyDescent="0.3">
      <c r="A171" s="372" t="s">
        <v>392</v>
      </c>
      <c r="B171" s="422">
        <v>0</v>
      </c>
      <c r="C171" s="726"/>
      <c r="D171" s="734"/>
      <c r="E171" s="372">
        <v>0</v>
      </c>
      <c r="F171" s="726"/>
      <c r="G171" s="734"/>
      <c r="K171" s="339"/>
      <c r="L171" s="339"/>
    </row>
    <row r="172" spans="1:12" x14ac:dyDescent="0.3">
      <c r="A172" s="372" t="s">
        <v>393</v>
      </c>
      <c r="B172" s="422">
        <v>0</v>
      </c>
      <c r="C172" s="726"/>
      <c r="D172" s="734"/>
      <c r="E172" s="372">
        <v>0</v>
      </c>
      <c r="F172" s="726"/>
      <c r="G172" s="734"/>
      <c r="K172" s="339"/>
      <c r="L172" s="339"/>
    </row>
    <row r="173" spans="1:12" x14ac:dyDescent="0.3">
      <c r="A173" s="372" t="s">
        <v>394</v>
      </c>
      <c r="B173" s="422">
        <v>0</v>
      </c>
      <c r="C173" s="726"/>
      <c r="D173" s="734"/>
      <c r="E173" s="374">
        <v>0</v>
      </c>
      <c r="F173" s="726"/>
      <c r="G173" s="734"/>
      <c r="K173" s="339"/>
      <c r="L173" s="339"/>
    </row>
    <row r="174" spans="1:12" x14ac:dyDescent="0.3">
      <c r="A174" s="413"/>
      <c r="B174" s="424"/>
      <c r="C174" s="728"/>
      <c r="D174" s="736"/>
      <c r="E174" s="377"/>
      <c r="F174" s="728"/>
      <c r="G174" s="736"/>
      <c r="K174" s="339"/>
      <c r="L174" s="339"/>
    </row>
    <row r="175" spans="1:12" x14ac:dyDescent="0.3">
      <c r="K175" s="339"/>
      <c r="L175" s="339"/>
    </row>
    <row r="176" spans="1:12" x14ac:dyDescent="0.3">
      <c r="K176" s="339"/>
      <c r="L176" s="339"/>
    </row>
    <row r="177" spans="11:12" x14ac:dyDescent="0.3">
      <c r="K177" s="339"/>
      <c r="L177" s="339"/>
    </row>
    <row r="178" spans="11:12" x14ac:dyDescent="0.3">
      <c r="K178" s="339"/>
      <c r="L178" s="339"/>
    </row>
    <row r="179" spans="11:12" x14ac:dyDescent="0.3">
      <c r="K179" s="339"/>
      <c r="L179" s="339"/>
    </row>
    <row r="180" spans="11:12" x14ac:dyDescent="0.3">
      <c r="K180" s="339"/>
      <c r="L180" s="339"/>
    </row>
    <row r="181" spans="11:12" x14ac:dyDescent="0.3">
      <c r="K181" s="339"/>
      <c r="L181" s="339"/>
    </row>
    <row r="182" spans="11:12" x14ac:dyDescent="0.3">
      <c r="K182" s="339"/>
      <c r="L182" s="339"/>
    </row>
    <row r="183" spans="11:12" x14ac:dyDescent="0.3">
      <c r="K183" s="339"/>
      <c r="L183" s="339"/>
    </row>
    <row r="184" spans="11:12" x14ac:dyDescent="0.3">
      <c r="K184" s="339"/>
      <c r="L184" s="339"/>
    </row>
    <row r="185" spans="11:12" x14ac:dyDescent="0.3">
      <c r="K185" s="339"/>
      <c r="L185" s="339"/>
    </row>
    <row r="186" spans="11:12" x14ac:dyDescent="0.3">
      <c r="K186" s="339"/>
      <c r="L186" s="339"/>
    </row>
    <row r="187" spans="11:12" x14ac:dyDescent="0.3">
      <c r="K187" s="339"/>
      <c r="L187" s="339"/>
    </row>
    <row r="188" spans="11:12" x14ac:dyDescent="0.3">
      <c r="K188" s="339"/>
      <c r="L188" s="339"/>
    </row>
    <row r="189" spans="11:12" x14ac:dyDescent="0.3">
      <c r="K189" s="339"/>
      <c r="L189" s="339"/>
    </row>
    <row r="190" spans="11:12" x14ac:dyDescent="0.3">
      <c r="K190" s="339"/>
      <c r="L190" s="339"/>
    </row>
    <row r="191" spans="11:12" x14ac:dyDescent="0.3">
      <c r="K191" s="339"/>
      <c r="L191" s="339"/>
    </row>
    <row r="192" spans="11:12" x14ac:dyDescent="0.3">
      <c r="K192" s="339"/>
      <c r="L192" s="339"/>
    </row>
    <row r="193" spans="11:12" x14ac:dyDescent="0.3">
      <c r="K193" s="339"/>
      <c r="L193" s="339"/>
    </row>
    <row r="194" spans="11:12" x14ac:dyDescent="0.3">
      <c r="K194" s="339"/>
      <c r="L194" s="339"/>
    </row>
    <row r="195" spans="11:12" x14ac:dyDescent="0.3">
      <c r="K195" s="339"/>
      <c r="L195" s="339"/>
    </row>
    <row r="196" spans="11:12" x14ac:dyDescent="0.3">
      <c r="K196" s="339"/>
      <c r="L196" s="339"/>
    </row>
    <row r="197" spans="11:12" x14ac:dyDescent="0.3">
      <c r="K197" s="339"/>
      <c r="L197" s="339"/>
    </row>
    <row r="198" spans="11:12" x14ac:dyDescent="0.3">
      <c r="K198" s="339"/>
      <c r="L198" s="339"/>
    </row>
    <row r="199" spans="11:12" x14ac:dyDescent="0.3">
      <c r="K199" s="339"/>
      <c r="L199" s="339"/>
    </row>
    <row r="200" spans="11:12" x14ac:dyDescent="0.3">
      <c r="K200" s="339"/>
      <c r="L200" s="339"/>
    </row>
    <row r="201" spans="11:12" x14ac:dyDescent="0.3">
      <c r="K201" s="339"/>
      <c r="L201" s="339"/>
    </row>
    <row r="202" spans="11:12" x14ac:dyDescent="0.3">
      <c r="K202" s="339"/>
      <c r="L202" s="339"/>
    </row>
    <row r="203" spans="11:12" x14ac:dyDescent="0.3">
      <c r="K203" s="339"/>
      <c r="L203" s="339"/>
    </row>
    <row r="204" spans="11:12" x14ac:dyDescent="0.3">
      <c r="K204" s="339"/>
      <c r="L204" s="339"/>
    </row>
    <row r="205" spans="11:12" x14ac:dyDescent="0.3">
      <c r="K205" s="339"/>
      <c r="L205" s="339"/>
    </row>
    <row r="206" spans="11:12" x14ac:dyDescent="0.3">
      <c r="K206" s="339"/>
      <c r="L206" s="339"/>
    </row>
    <row r="207" spans="11:12" x14ac:dyDescent="0.3">
      <c r="K207" s="339"/>
      <c r="L207" s="339"/>
    </row>
    <row r="208" spans="11:12" x14ac:dyDescent="0.3">
      <c r="K208" s="339"/>
      <c r="L208" s="339"/>
    </row>
    <row r="209" spans="11:12" x14ac:dyDescent="0.3">
      <c r="K209" s="339"/>
      <c r="L209" s="339"/>
    </row>
    <row r="210" spans="11:12" x14ac:dyDescent="0.3">
      <c r="K210" s="339"/>
      <c r="L210" s="339"/>
    </row>
    <row r="211" spans="11:12" x14ac:dyDescent="0.3">
      <c r="K211" s="339"/>
      <c r="L211" s="339"/>
    </row>
    <row r="212" spans="11:12" x14ac:dyDescent="0.3">
      <c r="K212" s="339"/>
      <c r="L212" s="339"/>
    </row>
    <row r="213" spans="11:12" x14ac:dyDescent="0.3">
      <c r="K213" s="339"/>
      <c r="L213" s="339"/>
    </row>
    <row r="214" spans="11:12" x14ac:dyDescent="0.3">
      <c r="K214" s="339"/>
      <c r="L214" s="339"/>
    </row>
    <row r="215" spans="11:12" x14ac:dyDescent="0.3">
      <c r="K215" s="339"/>
      <c r="L215" s="339"/>
    </row>
    <row r="216" spans="11:12" x14ac:dyDescent="0.3">
      <c r="K216" s="339"/>
      <c r="L216" s="339"/>
    </row>
    <row r="217" spans="11:12" x14ac:dyDescent="0.3">
      <c r="K217" s="339"/>
      <c r="L217" s="339"/>
    </row>
    <row r="218" spans="11:12" x14ac:dyDescent="0.3">
      <c r="K218" s="339"/>
      <c r="L218" s="339"/>
    </row>
    <row r="219" spans="11:12" x14ac:dyDescent="0.3">
      <c r="K219" s="339"/>
      <c r="L219" s="339"/>
    </row>
    <row r="220" spans="11:12" x14ac:dyDescent="0.3">
      <c r="K220" s="339"/>
      <c r="L220" s="339"/>
    </row>
    <row r="221" spans="11:12" x14ac:dyDescent="0.3">
      <c r="K221" s="339"/>
      <c r="L221" s="339"/>
    </row>
    <row r="222" spans="11:12" x14ac:dyDescent="0.3">
      <c r="K222" s="339"/>
      <c r="L222" s="339"/>
    </row>
    <row r="223" spans="11:12" x14ac:dyDescent="0.3">
      <c r="K223" s="339"/>
      <c r="L223" s="339"/>
    </row>
    <row r="224" spans="11:12" x14ac:dyDescent="0.3">
      <c r="K224" s="339"/>
      <c r="L224" s="339"/>
    </row>
    <row r="225" spans="11:12" x14ac:dyDescent="0.3">
      <c r="K225" s="339"/>
      <c r="L225" s="339"/>
    </row>
    <row r="226" spans="11:12" x14ac:dyDescent="0.3">
      <c r="K226" s="339"/>
      <c r="L226" s="339"/>
    </row>
    <row r="227" spans="11:12" x14ac:dyDescent="0.3">
      <c r="K227" s="339"/>
      <c r="L227" s="339"/>
    </row>
    <row r="228" spans="11:12" x14ac:dyDescent="0.3">
      <c r="K228" s="339"/>
      <c r="L228" s="339"/>
    </row>
    <row r="229" spans="11:12" x14ac:dyDescent="0.3">
      <c r="K229" s="339"/>
      <c r="L229" s="339"/>
    </row>
    <row r="230" spans="11:12" x14ac:dyDescent="0.3">
      <c r="K230" s="339"/>
      <c r="L230" s="339"/>
    </row>
    <row r="231" spans="11:12" x14ac:dyDescent="0.3">
      <c r="K231" s="339"/>
      <c r="L231" s="339"/>
    </row>
    <row r="232" spans="11:12" x14ac:dyDescent="0.3">
      <c r="K232" s="339"/>
      <c r="L232" s="339"/>
    </row>
    <row r="233" spans="11:12" x14ac:dyDescent="0.3">
      <c r="K233" s="339"/>
      <c r="L233" s="339"/>
    </row>
    <row r="234" spans="11:12" x14ac:dyDescent="0.3">
      <c r="K234" s="339"/>
      <c r="L234" s="339"/>
    </row>
    <row r="235" spans="11:12" x14ac:dyDescent="0.3">
      <c r="K235" s="339"/>
      <c r="L235" s="339"/>
    </row>
    <row r="236" spans="11:12" x14ac:dyDescent="0.3">
      <c r="K236" s="339"/>
      <c r="L236" s="339"/>
    </row>
    <row r="237" spans="11:12" x14ac:dyDescent="0.3">
      <c r="K237" s="339"/>
      <c r="L237" s="339"/>
    </row>
    <row r="238" spans="11:12" x14ac:dyDescent="0.3">
      <c r="K238" s="339"/>
      <c r="L238" s="339"/>
    </row>
    <row r="239" spans="11:12" x14ac:dyDescent="0.3">
      <c r="K239" s="339"/>
      <c r="L239" s="339"/>
    </row>
    <row r="240" spans="11:12" x14ac:dyDescent="0.3">
      <c r="K240" s="339"/>
      <c r="L240" s="339"/>
    </row>
    <row r="241" spans="11:12" x14ac:dyDescent="0.3">
      <c r="K241" s="339"/>
      <c r="L241" s="339"/>
    </row>
    <row r="242" spans="11:12" x14ac:dyDescent="0.3">
      <c r="K242" s="339"/>
      <c r="L242" s="339"/>
    </row>
    <row r="243" spans="11:12" x14ac:dyDescent="0.3">
      <c r="K243" s="339"/>
      <c r="L243" s="339"/>
    </row>
    <row r="244" spans="11:12" x14ac:dyDescent="0.3">
      <c r="K244" s="339"/>
      <c r="L244" s="339"/>
    </row>
    <row r="245" spans="11:12" x14ac:dyDescent="0.3">
      <c r="K245" s="339"/>
      <c r="L245" s="339"/>
    </row>
    <row r="246" spans="11:12" x14ac:dyDescent="0.3">
      <c r="K246" s="339"/>
      <c r="L246" s="339"/>
    </row>
    <row r="247" spans="11:12" x14ac:dyDescent="0.3">
      <c r="K247" s="339"/>
      <c r="L247" s="339"/>
    </row>
    <row r="248" spans="11:12" x14ac:dyDescent="0.3">
      <c r="K248" s="339"/>
      <c r="L248" s="339"/>
    </row>
    <row r="249" spans="11:12" x14ac:dyDescent="0.3">
      <c r="K249" s="339"/>
      <c r="L249" s="339"/>
    </row>
    <row r="250" spans="11:12" x14ac:dyDescent="0.3">
      <c r="K250" s="339"/>
      <c r="L250" s="339"/>
    </row>
    <row r="251" spans="11:12" x14ac:dyDescent="0.3">
      <c r="K251" s="339"/>
      <c r="L251" s="339"/>
    </row>
    <row r="252" spans="11:12" x14ac:dyDescent="0.3">
      <c r="K252" s="339"/>
      <c r="L252" s="339"/>
    </row>
    <row r="253" spans="11:12" x14ac:dyDescent="0.3">
      <c r="K253" s="339"/>
      <c r="L253" s="339"/>
    </row>
    <row r="254" spans="11:12" x14ac:dyDescent="0.3">
      <c r="K254" s="339"/>
      <c r="L254" s="339"/>
    </row>
    <row r="255" spans="11:12" x14ac:dyDescent="0.3">
      <c r="K255" s="339"/>
      <c r="L255" s="339"/>
    </row>
    <row r="256" spans="11:12" x14ac:dyDescent="0.3">
      <c r="K256" s="339"/>
      <c r="L256" s="339"/>
    </row>
    <row r="257" spans="11:12" x14ac:dyDescent="0.3">
      <c r="K257" s="339"/>
      <c r="L257" s="339"/>
    </row>
    <row r="258" spans="11:12" x14ac:dyDescent="0.3">
      <c r="K258" s="339"/>
      <c r="L258" s="339"/>
    </row>
    <row r="259" spans="11:12" x14ac:dyDescent="0.3">
      <c r="K259" s="339"/>
      <c r="L259" s="339"/>
    </row>
    <row r="260" spans="11:12" x14ac:dyDescent="0.3">
      <c r="K260" s="339"/>
      <c r="L260" s="339"/>
    </row>
    <row r="261" spans="11:12" x14ac:dyDescent="0.3">
      <c r="K261" s="339"/>
      <c r="L261" s="339"/>
    </row>
    <row r="262" spans="11:12" x14ac:dyDescent="0.3">
      <c r="K262" s="339"/>
      <c r="L262" s="339"/>
    </row>
    <row r="263" spans="11:12" x14ac:dyDescent="0.3">
      <c r="K263" s="339"/>
      <c r="L263" s="339"/>
    </row>
    <row r="264" spans="11:12" x14ac:dyDescent="0.3">
      <c r="K264" s="339"/>
      <c r="L264" s="339"/>
    </row>
    <row r="265" spans="11:12" x14ac:dyDescent="0.3">
      <c r="K265" s="339"/>
      <c r="L265" s="339"/>
    </row>
    <row r="266" spans="11:12" x14ac:dyDescent="0.3">
      <c r="K266" s="339"/>
      <c r="L266" s="339"/>
    </row>
    <row r="267" spans="11:12" x14ac:dyDescent="0.3">
      <c r="K267" s="339"/>
      <c r="L267" s="339"/>
    </row>
    <row r="268" spans="11:12" x14ac:dyDescent="0.3">
      <c r="K268" s="339"/>
      <c r="L268" s="339"/>
    </row>
    <row r="269" spans="11:12" x14ac:dyDescent="0.3">
      <c r="K269" s="339"/>
      <c r="L269" s="339"/>
    </row>
    <row r="270" spans="11:12" x14ac:dyDescent="0.3">
      <c r="K270" s="339"/>
      <c r="L270" s="339"/>
    </row>
    <row r="271" spans="11:12" x14ac:dyDescent="0.3">
      <c r="K271" s="339"/>
      <c r="L271" s="339"/>
    </row>
    <row r="272" spans="11:12" x14ac:dyDescent="0.3">
      <c r="K272" s="339"/>
      <c r="L272" s="339"/>
    </row>
    <row r="273" spans="11:12" x14ac:dyDescent="0.3">
      <c r="K273" s="339"/>
      <c r="L273" s="339"/>
    </row>
    <row r="274" spans="11:12" x14ac:dyDescent="0.3">
      <c r="K274" s="339"/>
      <c r="L274" s="339"/>
    </row>
    <row r="275" spans="11:12" x14ac:dyDescent="0.3">
      <c r="K275" s="339"/>
      <c r="L275" s="339"/>
    </row>
    <row r="276" spans="11:12" x14ac:dyDescent="0.3">
      <c r="K276" s="339"/>
      <c r="L276" s="339"/>
    </row>
    <row r="277" spans="11:12" x14ac:dyDescent="0.3">
      <c r="K277" s="339"/>
      <c r="L277" s="339"/>
    </row>
    <row r="278" spans="11:12" x14ac:dyDescent="0.3">
      <c r="K278" s="339"/>
      <c r="L278" s="339"/>
    </row>
    <row r="279" spans="11:12" x14ac:dyDescent="0.3">
      <c r="K279" s="339"/>
      <c r="L279" s="339"/>
    </row>
    <row r="280" spans="11:12" x14ac:dyDescent="0.3">
      <c r="K280" s="339"/>
      <c r="L280" s="339"/>
    </row>
    <row r="281" spans="11:12" x14ac:dyDescent="0.3">
      <c r="K281" s="339"/>
      <c r="L281" s="339"/>
    </row>
    <row r="282" spans="11:12" x14ac:dyDescent="0.3">
      <c r="K282" s="339"/>
      <c r="L282" s="339"/>
    </row>
    <row r="283" spans="11:12" x14ac:dyDescent="0.3">
      <c r="K283" s="339"/>
      <c r="L283" s="339"/>
    </row>
    <row r="284" spans="11:12" x14ac:dyDescent="0.3">
      <c r="K284" s="339"/>
      <c r="L284" s="339"/>
    </row>
    <row r="285" spans="11:12" x14ac:dyDescent="0.3">
      <c r="K285" s="339"/>
      <c r="L285" s="339"/>
    </row>
    <row r="286" spans="11:12" x14ac:dyDescent="0.3">
      <c r="K286" s="339"/>
      <c r="L286" s="339"/>
    </row>
    <row r="287" spans="11:12" x14ac:dyDescent="0.3">
      <c r="K287" s="339"/>
      <c r="L287" s="339"/>
    </row>
    <row r="288" spans="11:12" x14ac:dyDescent="0.3">
      <c r="K288" s="339"/>
      <c r="L288" s="339"/>
    </row>
    <row r="289" spans="11:12" x14ac:dyDescent="0.3">
      <c r="K289" s="339"/>
      <c r="L289" s="339"/>
    </row>
    <row r="290" spans="11:12" x14ac:dyDescent="0.3">
      <c r="K290" s="339"/>
      <c r="L290" s="339"/>
    </row>
    <row r="291" spans="11:12" x14ac:dyDescent="0.3">
      <c r="K291" s="339"/>
      <c r="L291" s="339"/>
    </row>
    <row r="292" spans="11:12" x14ac:dyDescent="0.3">
      <c r="K292" s="339"/>
      <c r="L292" s="339"/>
    </row>
    <row r="293" spans="11:12" x14ac:dyDescent="0.3">
      <c r="K293" s="339"/>
      <c r="L293" s="339"/>
    </row>
    <row r="294" spans="11:12" x14ac:dyDescent="0.3">
      <c r="K294" s="339"/>
      <c r="L294" s="339"/>
    </row>
    <row r="295" spans="11:12" x14ac:dyDescent="0.3">
      <c r="K295" s="339"/>
      <c r="L295" s="339"/>
    </row>
    <row r="296" spans="11:12" x14ac:dyDescent="0.3">
      <c r="K296" s="339"/>
      <c r="L296" s="339"/>
    </row>
    <row r="297" spans="11:12" x14ac:dyDescent="0.3">
      <c r="K297" s="339"/>
      <c r="L297" s="339"/>
    </row>
    <row r="298" spans="11:12" x14ac:dyDescent="0.3">
      <c r="K298" s="339"/>
      <c r="L298" s="339"/>
    </row>
    <row r="299" spans="11:12" x14ac:dyDescent="0.3">
      <c r="K299" s="339"/>
      <c r="L299" s="339"/>
    </row>
    <row r="300" spans="11:12" x14ac:dyDescent="0.3">
      <c r="K300" s="339"/>
      <c r="L300" s="339"/>
    </row>
    <row r="301" spans="11:12" x14ac:dyDescent="0.3">
      <c r="K301" s="339"/>
      <c r="L301" s="339"/>
    </row>
    <row r="302" spans="11:12" x14ac:dyDescent="0.3">
      <c r="K302" s="339"/>
      <c r="L302" s="339"/>
    </row>
    <row r="303" spans="11:12" x14ac:dyDescent="0.3">
      <c r="K303" s="339"/>
      <c r="L303" s="339"/>
    </row>
    <row r="304" spans="11:12" x14ac:dyDescent="0.3">
      <c r="K304" s="339"/>
      <c r="L304" s="339"/>
    </row>
    <row r="305" spans="11:12" x14ac:dyDescent="0.3">
      <c r="K305" s="339"/>
      <c r="L305" s="339"/>
    </row>
    <row r="306" spans="11:12" x14ac:dyDescent="0.3">
      <c r="K306" s="339"/>
      <c r="L306" s="339"/>
    </row>
    <row r="307" spans="11:12" x14ac:dyDescent="0.3">
      <c r="K307" s="339"/>
      <c r="L307" s="339"/>
    </row>
    <row r="308" spans="11:12" x14ac:dyDescent="0.3">
      <c r="K308" s="339"/>
      <c r="L308" s="339"/>
    </row>
    <row r="309" spans="11:12" x14ac:dyDescent="0.3">
      <c r="K309" s="339"/>
      <c r="L309" s="339"/>
    </row>
    <row r="310" spans="11:12" x14ac:dyDescent="0.3">
      <c r="K310" s="339"/>
      <c r="L310" s="339"/>
    </row>
    <row r="311" spans="11:12" x14ac:dyDescent="0.3">
      <c r="K311" s="339"/>
      <c r="L311" s="339"/>
    </row>
    <row r="312" spans="11:12" x14ac:dyDescent="0.3">
      <c r="K312" s="339"/>
      <c r="L312" s="339"/>
    </row>
    <row r="313" spans="11:12" x14ac:dyDescent="0.3">
      <c r="K313" s="339"/>
      <c r="L313" s="339"/>
    </row>
    <row r="314" spans="11:12" x14ac:dyDescent="0.3">
      <c r="K314" s="339"/>
      <c r="L314" s="339"/>
    </row>
    <row r="315" spans="11:12" x14ac:dyDescent="0.3">
      <c r="K315" s="339"/>
      <c r="L315" s="339"/>
    </row>
    <row r="316" spans="11:12" x14ac:dyDescent="0.3">
      <c r="K316" s="339"/>
      <c r="L316" s="339"/>
    </row>
    <row r="317" spans="11:12" x14ac:dyDescent="0.3">
      <c r="K317" s="339"/>
      <c r="L317" s="339"/>
    </row>
    <row r="318" spans="11:12" x14ac:dyDescent="0.3">
      <c r="K318" s="339"/>
      <c r="L318" s="339"/>
    </row>
    <row r="319" spans="11:12" x14ac:dyDescent="0.3">
      <c r="K319" s="339"/>
      <c r="L319" s="339"/>
    </row>
    <row r="320" spans="11:12" x14ac:dyDescent="0.3">
      <c r="K320" s="339"/>
      <c r="L320" s="339"/>
    </row>
    <row r="321" spans="11:12" x14ac:dyDescent="0.3">
      <c r="K321" s="339"/>
      <c r="L321" s="339"/>
    </row>
    <row r="322" spans="11:12" x14ac:dyDescent="0.3">
      <c r="K322" s="339"/>
      <c r="L322" s="339"/>
    </row>
    <row r="323" spans="11:12" x14ac:dyDescent="0.3">
      <c r="K323" s="339"/>
      <c r="L323" s="339"/>
    </row>
    <row r="324" spans="11:12" x14ac:dyDescent="0.3">
      <c r="K324" s="339"/>
      <c r="L324" s="339"/>
    </row>
    <row r="325" spans="11:12" x14ac:dyDescent="0.3">
      <c r="K325" s="339"/>
      <c r="L325" s="339"/>
    </row>
    <row r="326" spans="11:12" x14ac:dyDescent="0.3">
      <c r="K326" s="339"/>
      <c r="L326" s="339"/>
    </row>
    <row r="327" spans="11:12" x14ac:dyDescent="0.3">
      <c r="K327" s="339"/>
      <c r="L327" s="339"/>
    </row>
    <row r="328" spans="11:12" x14ac:dyDescent="0.3">
      <c r="K328" s="339"/>
      <c r="L328" s="339"/>
    </row>
    <row r="329" spans="11:12" x14ac:dyDescent="0.3">
      <c r="K329" s="339"/>
      <c r="L329" s="339"/>
    </row>
    <row r="330" spans="11:12" x14ac:dyDescent="0.3">
      <c r="K330" s="339"/>
      <c r="L330" s="339"/>
    </row>
    <row r="331" spans="11:12" x14ac:dyDescent="0.3">
      <c r="K331" s="339"/>
      <c r="L331" s="339"/>
    </row>
    <row r="332" spans="11:12" x14ac:dyDescent="0.3">
      <c r="K332" s="339"/>
      <c r="L332" s="339"/>
    </row>
    <row r="333" spans="11:12" x14ac:dyDescent="0.3">
      <c r="K333" s="339"/>
      <c r="L333" s="339"/>
    </row>
    <row r="334" spans="11:12" x14ac:dyDescent="0.3">
      <c r="K334" s="339"/>
      <c r="L334" s="339"/>
    </row>
    <row r="335" spans="11:12" x14ac:dyDescent="0.3">
      <c r="K335" s="339"/>
      <c r="L335" s="339"/>
    </row>
    <row r="336" spans="11:12" x14ac:dyDescent="0.3">
      <c r="K336" s="339"/>
      <c r="L336" s="339"/>
    </row>
    <row r="337" spans="11:12" x14ac:dyDescent="0.3">
      <c r="K337" s="339"/>
      <c r="L337" s="339"/>
    </row>
    <row r="338" spans="11:12" x14ac:dyDescent="0.3">
      <c r="K338" s="339"/>
      <c r="L338" s="339"/>
    </row>
    <row r="339" spans="11:12" x14ac:dyDescent="0.3">
      <c r="K339" s="339"/>
      <c r="L339" s="339"/>
    </row>
    <row r="340" spans="11:12" x14ac:dyDescent="0.3">
      <c r="K340" s="339"/>
      <c r="L340" s="339"/>
    </row>
    <row r="341" spans="11:12" x14ac:dyDescent="0.3">
      <c r="K341" s="339"/>
      <c r="L341" s="339"/>
    </row>
    <row r="342" spans="11:12" x14ac:dyDescent="0.3">
      <c r="K342" s="339"/>
      <c r="L342" s="339"/>
    </row>
    <row r="343" spans="11:12" x14ac:dyDescent="0.3">
      <c r="K343" s="339"/>
      <c r="L343" s="339"/>
    </row>
    <row r="344" spans="11:12" x14ac:dyDescent="0.3">
      <c r="K344" s="339"/>
      <c r="L344" s="339"/>
    </row>
    <row r="345" spans="11:12" x14ac:dyDescent="0.3">
      <c r="K345" s="339"/>
      <c r="L345" s="339"/>
    </row>
    <row r="346" spans="11:12" x14ac:dyDescent="0.3">
      <c r="K346" s="339"/>
      <c r="L346" s="339"/>
    </row>
    <row r="347" spans="11:12" x14ac:dyDescent="0.3">
      <c r="K347" s="339"/>
      <c r="L347" s="339"/>
    </row>
    <row r="348" spans="11:12" x14ac:dyDescent="0.3">
      <c r="K348" s="339"/>
      <c r="L348" s="339"/>
    </row>
    <row r="349" spans="11:12" x14ac:dyDescent="0.3">
      <c r="K349" s="339"/>
      <c r="L349" s="339"/>
    </row>
    <row r="350" spans="11:12" x14ac:dyDescent="0.3">
      <c r="K350" s="339"/>
      <c r="L350" s="339"/>
    </row>
    <row r="351" spans="11:12" x14ac:dyDescent="0.3">
      <c r="K351" s="339"/>
      <c r="L351" s="339"/>
    </row>
    <row r="352" spans="11:12" x14ac:dyDescent="0.3">
      <c r="K352" s="339"/>
      <c r="L352" s="339"/>
    </row>
    <row r="353" spans="11:12" x14ac:dyDescent="0.3">
      <c r="K353" s="339"/>
      <c r="L353" s="339"/>
    </row>
    <row r="354" spans="11:12" x14ac:dyDescent="0.3">
      <c r="K354" s="339"/>
      <c r="L354" s="339"/>
    </row>
    <row r="355" spans="11:12" x14ac:dyDescent="0.3">
      <c r="K355" s="339"/>
      <c r="L355" s="339"/>
    </row>
    <row r="356" spans="11:12" x14ac:dyDescent="0.3">
      <c r="K356" s="339"/>
      <c r="L356" s="339"/>
    </row>
    <row r="357" spans="11:12" x14ac:dyDescent="0.3">
      <c r="K357" s="339"/>
      <c r="L357" s="339"/>
    </row>
    <row r="358" spans="11:12" x14ac:dyDescent="0.3">
      <c r="K358" s="339"/>
      <c r="L358" s="339"/>
    </row>
    <row r="359" spans="11:12" x14ac:dyDescent="0.3">
      <c r="K359" s="339"/>
      <c r="L359" s="339"/>
    </row>
    <row r="360" spans="11:12" x14ac:dyDescent="0.3">
      <c r="K360" s="339"/>
      <c r="L360" s="339"/>
    </row>
    <row r="361" spans="11:12" x14ac:dyDescent="0.3">
      <c r="K361" s="339"/>
      <c r="L361" s="339"/>
    </row>
    <row r="362" spans="11:12" x14ac:dyDescent="0.3">
      <c r="K362" s="339"/>
      <c r="L362" s="339"/>
    </row>
    <row r="363" spans="11:12" x14ac:dyDescent="0.3">
      <c r="K363" s="339"/>
      <c r="L363" s="339"/>
    </row>
    <row r="364" spans="11:12" x14ac:dyDescent="0.3">
      <c r="K364" s="339"/>
      <c r="L364" s="339"/>
    </row>
    <row r="365" spans="11:12" x14ac:dyDescent="0.3">
      <c r="K365" s="339"/>
      <c r="L365" s="339"/>
    </row>
    <row r="366" spans="11:12" x14ac:dyDescent="0.3">
      <c r="K366" s="339"/>
      <c r="L366" s="339"/>
    </row>
    <row r="367" spans="11:12" x14ac:dyDescent="0.3">
      <c r="K367" s="339"/>
      <c r="L367" s="339"/>
    </row>
    <row r="368" spans="11:12" x14ac:dyDescent="0.3">
      <c r="K368" s="339"/>
      <c r="L368" s="339"/>
    </row>
    <row r="369" spans="11:12" x14ac:dyDescent="0.3">
      <c r="K369" s="339"/>
      <c r="L369" s="339"/>
    </row>
    <row r="370" spans="11:12" x14ac:dyDescent="0.3">
      <c r="K370" s="339"/>
      <c r="L370" s="339"/>
    </row>
    <row r="371" spans="11:12" x14ac:dyDescent="0.3">
      <c r="K371" s="339"/>
      <c r="L371" s="339"/>
    </row>
    <row r="372" spans="11:12" x14ac:dyDescent="0.3">
      <c r="K372" s="339"/>
      <c r="L372" s="339"/>
    </row>
    <row r="373" spans="11:12" x14ac:dyDescent="0.3">
      <c r="K373" s="339"/>
      <c r="L373" s="339"/>
    </row>
    <row r="374" spans="11:12" x14ac:dyDescent="0.3">
      <c r="K374" s="339"/>
      <c r="L374" s="339"/>
    </row>
    <row r="375" spans="11:12" x14ac:dyDescent="0.3">
      <c r="K375" s="339"/>
      <c r="L375" s="339"/>
    </row>
    <row r="376" spans="11:12" x14ac:dyDescent="0.3">
      <c r="K376" s="339"/>
      <c r="L376" s="339"/>
    </row>
    <row r="377" spans="11:12" x14ac:dyDescent="0.3">
      <c r="K377" s="339"/>
      <c r="L377" s="339"/>
    </row>
    <row r="378" spans="11:12" x14ac:dyDescent="0.3">
      <c r="K378" s="339"/>
      <c r="L378" s="339"/>
    </row>
    <row r="379" spans="11:12" x14ac:dyDescent="0.3">
      <c r="K379" s="339"/>
      <c r="L379" s="339"/>
    </row>
    <row r="380" spans="11:12" x14ac:dyDescent="0.3">
      <c r="K380" s="339"/>
      <c r="L380" s="339"/>
    </row>
    <row r="381" spans="11:12" x14ac:dyDescent="0.3">
      <c r="K381" s="339"/>
      <c r="L381" s="339"/>
    </row>
  </sheetData>
  <mergeCells count="17">
    <mergeCell ref="A37:A38"/>
    <mergeCell ref="B37:D37"/>
    <mergeCell ref="E37:G37"/>
    <mergeCell ref="A152:A153"/>
    <mergeCell ref="B152:D152"/>
    <mergeCell ref="E152:G152"/>
    <mergeCell ref="A74:A75"/>
    <mergeCell ref="B74:D74"/>
    <mergeCell ref="E74:G74"/>
    <mergeCell ref="A115:A116"/>
    <mergeCell ref="B115:D115"/>
    <mergeCell ref="E115:G115"/>
    <mergeCell ref="A3:A4"/>
    <mergeCell ref="B3:D3"/>
    <mergeCell ref="E3:G3"/>
    <mergeCell ref="I3:I4"/>
    <mergeCell ref="J3:L3"/>
  </mergeCells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8" tint="0.39997558519241921"/>
  </sheetPr>
  <dimension ref="A1:T174"/>
  <sheetViews>
    <sheetView topLeftCell="A37" zoomScaleNormal="100" workbookViewId="0">
      <selection activeCell="A37" sqref="A1:XFD1048576"/>
    </sheetView>
  </sheetViews>
  <sheetFormatPr defaultColWidth="9.140625" defaultRowHeight="18.75" x14ac:dyDescent="0.3"/>
  <cols>
    <col min="1" max="1" width="22.5703125" style="395" customWidth="1"/>
    <col min="2" max="2" width="10" style="414" customWidth="1"/>
    <col min="3" max="3" width="10.140625" style="722" customWidth="1"/>
    <col min="4" max="4" width="9" style="730" customWidth="1"/>
    <col min="5" max="5" width="12" style="339" customWidth="1"/>
    <col min="6" max="6" width="13.85546875" style="722" customWidth="1"/>
    <col min="7" max="7" width="10.85546875" style="730" customWidth="1"/>
    <col min="8" max="8" width="11" style="395" bestFit="1" customWidth="1"/>
    <col min="9" max="9" width="23.28515625" style="339" customWidth="1"/>
    <col min="10" max="10" width="9.7109375" style="339" customWidth="1"/>
    <col min="11" max="11" width="10.28515625" style="722" customWidth="1"/>
    <col min="12" max="12" width="9.28515625" style="730" customWidth="1"/>
    <col min="13" max="14" width="10.42578125" style="395" customWidth="1"/>
    <col min="15" max="15" width="9.140625" style="395"/>
    <col min="16" max="16" width="19.140625" style="395" customWidth="1"/>
    <col min="17" max="16384" width="9.140625" style="395"/>
  </cols>
  <sheetData>
    <row r="1" spans="1:20" x14ac:dyDescent="0.3">
      <c r="A1" s="415" t="s">
        <v>803</v>
      </c>
      <c r="K1" s="339"/>
      <c r="L1" s="382"/>
      <c r="N1" s="416"/>
      <c r="Q1" s="472"/>
      <c r="R1" s="472"/>
      <c r="S1" s="473"/>
      <c r="T1" s="474"/>
    </row>
    <row r="2" spans="1:20" x14ac:dyDescent="0.3">
      <c r="K2" s="339"/>
      <c r="L2" s="339"/>
      <c r="Q2" s="472"/>
      <c r="R2" s="472"/>
      <c r="S2" s="476"/>
      <c r="T2" s="472"/>
    </row>
    <row r="3" spans="1:20" ht="24.95" customHeight="1" x14ac:dyDescent="0.3">
      <c r="A3" s="3513" t="s">
        <v>0</v>
      </c>
      <c r="B3" s="3519" t="s">
        <v>6</v>
      </c>
      <c r="C3" s="3519"/>
      <c r="D3" s="3519"/>
      <c r="E3" s="3520" t="s">
        <v>2</v>
      </c>
      <c r="F3" s="3520"/>
      <c r="G3" s="3520"/>
      <c r="I3" s="3516" t="s">
        <v>0</v>
      </c>
      <c r="J3" s="3518" t="s">
        <v>28</v>
      </c>
      <c r="K3" s="3518"/>
      <c r="L3" s="3518"/>
      <c r="N3" s="417"/>
      <c r="Q3" s="472"/>
      <c r="R3" s="472"/>
      <c r="S3" s="472"/>
      <c r="T3" s="472"/>
    </row>
    <row r="4" spans="1:20" ht="24.95" customHeight="1" x14ac:dyDescent="0.3">
      <c r="A4" s="3514"/>
      <c r="B4" s="418" t="s">
        <v>28</v>
      </c>
      <c r="C4" s="723" t="s">
        <v>34</v>
      </c>
      <c r="D4" s="731" t="s">
        <v>62</v>
      </c>
      <c r="E4" s="380" t="s">
        <v>28</v>
      </c>
      <c r="F4" s="723" t="s">
        <v>34</v>
      </c>
      <c r="G4" s="731" t="s">
        <v>62</v>
      </c>
      <c r="I4" s="3517"/>
      <c r="J4" s="380" t="s">
        <v>28</v>
      </c>
      <c r="K4" s="723" t="s">
        <v>34</v>
      </c>
      <c r="L4" s="731" t="s">
        <v>62</v>
      </c>
    </row>
    <row r="5" spans="1:20" ht="24.95" customHeight="1" thickBot="1" x14ac:dyDescent="0.35">
      <c r="A5" s="419" t="s">
        <v>28</v>
      </c>
      <c r="B5" s="420">
        <v>0</v>
      </c>
      <c r="C5" s="724">
        <v>0</v>
      </c>
      <c r="D5" s="732">
        <v>0</v>
      </c>
      <c r="E5" s="367">
        <v>0</v>
      </c>
      <c r="F5" s="724">
        <v>0</v>
      </c>
      <c r="G5" s="732">
        <v>0</v>
      </c>
      <c r="I5" s="525" t="s">
        <v>28</v>
      </c>
      <c r="J5" s="367">
        <v>28570</v>
      </c>
      <c r="K5" s="724">
        <v>0</v>
      </c>
      <c r="L5" s="732">
        <v>28570</v>
      </c>
    </row>
    <row r="6" spans="1:20" s="415" customFormat="1" ht="24.95" customHeight="1" thickTop="1" x14ac:dyDescent="0.3">
      <c r="A6" s="369" t="s">
        <v>7</v>
      </c>
      <c r="B6" s="421">
        <v>0</v>
      </c>
      <c r="C6" s="725">
        <v>0</v>
      </c>
      <c r="D6" s="733">
        <v>0</v>
      </c>
      <c r="E6" s="370">
        <v>0</v>
      </c>
      <c r="F6" s="725">
        <v>0</v>
      </c>
      <c r="G6" s="733">
        <v>0</v>
      </c>
      <c r="I6" s="369" t="s">
        <v>7</v>
      </c>
      <c r="J6" s="370">
        <v>0</v>
      </c>
      <c r="K6" s="725">
        <v>0</v>
      </c>
      <c r="L6" s="733">
        <v>0</v>
      </c>
    </row>
    <row r="7" spans="1:20" ht="24.95" customHeight="1" x14ac:dyDescent="0.3">
      <c r="A7" s="398" t="s">
        <v>8</v>
      </c>
      <c r="B7" s="422">
        <v>0</v>
      </c>
      <c r="C7" s="726"/>
      <c r="D7" s="734"/>
      <c r="E7" s="372">
        <v>0</v>
      </c>
      <c r="F7" s="726"/>
      <c r="G7" s="734"/>
      <c r="I7" s="398" t="s">
        <v>8</v>
      </c>
      <c r="J7" s="372">
        <v>0</v>
      </c>
      <c r="K7" s="726">
        <v>0</v>
      </c>
      <c r="L7" s="734">
        <v>0</v>
      </c>
    </row>
    <row r="8" spans="1:20" ht="24.95" customHeight="1" x14ac:dyDescent="0.3">
      <c r="A8" s="398" t="s">
        <v>306</v>
      </c>
      <c r="B8" s="422">
        <v>0</v>
      </c>
      <c r="C8" s="726"/>
      <c r="D8" s="734"/>
      <c r="E8" s="372">
        <v>0</v>
      </c>
      <c r="F8" s="726"/>
      <c r="G8" s="734"/>
      <c r="I8" s="398" t="s">
        <v>306</v>
      </c>
      <c r="J8" s="372">
        <v>0</v>
      </c>
      <c r="K8" s="726">
        <v>0</v>
      </c>
      <c r="L8" s="734">
        <v>0</v>
      </c>
    </row>
    <row r="9" spans="1:20" ht="24.95" customHeight="1" x14ac:dyDescent="0.3">
      <c r="A9" s="372"/>
      <c r="B9" s="422"/>
      <c r="C9" s="726"/>
      <c r="D9" s="734"/>
      <c r="E9" s="372"/>
      <c r="F9" s="726"/>
      <c r="G9" s="734"/>
      <c r="I9" s="372"/>
      <c r="J9" s="372"/>
      <c r="K9" s="726"/>
      <c r="L9" s="734"/>
    </row>
    <row r="10" spans="1:20" s="415" customFormat="1" ht="24.95" customHeight="1" x14ac:dyDescent="0.3">
      <c r="A10" s="526" t="s">
        <v>9</v>
      </c>
      <c r="B10" s="423">
        <v>0</v>
      </c>
      <c r="C10" s="727">
        <v>0</v>
      </c>
      <c r="D10" s="735">
        <v>0</v>
      </c>
      <c r="E10" s="375">
        <v>0</v>
      </c>
      <c r="F10" s="727">
        <v>0</v>
      </c>
      <c r="G10" s="735">
        <v>0</v>
      </c>
      <c r="I10" s="526" t="s">
        <v>9</v>
      </c>
      <c r="J10" s="375">
        <v>28570</v>
      </c>
      <c r="K10" s="727">
        <v>0</v>
      </c>
      <c r="L10" s="735">
        <v>28570</v>
      </c>
    </row>
    <row r="11" spans="1:20" ht="24.95" customHeight="1" x14ac:dyDescent="0.3">
      <c r="A11" s="372" t="s">
        <v>308</v>
      </c>
      <c r="B11" s="422">
        <v>0</v>
      </c>
      <c r="C11" s="726"/>
      <c r="D11" s="734"/>
      <c r="E11" s="372">
        <v>0</v>
      </c>
      <c r="F11" s="726"/>
      <c r="G11" s="734"/>
      <c r="I11" s="372" t="s">
        <v>308</v>
      </c>
      <c r="J11" s="372">
        <v>28570</v>
      </c>
      <c r="K11" s="726">
        <v>0</v>
      </c>
      <c r="L11" s="734">
        <v>28570</v>
      </c>
    </row>
    <row r="12" spans="1:20" ht="24.95" customHeight="1" x14ac:dyDescent="0.3">
      <c r="A12" s="372" t="s">
        <v>309</v>
      </c>
      <c r="B12" s="422">
        <v>0</v>
      </c>
      <c r="C12" s="726"/>
      <c r="D12" s="734"/>
      <c r="E12" s="372">
        <v>0</v>
      </c>
      <c r="F12" s="726"/>
      <c r="G12" s="734"/>
      <c r="I12" s="372" t="s">
        <v>309</v>
      </c>
      <c r="J12" s="372">
        <v>0</v>
      </c>
      <c r="K12" s="726">
        <v>0</v>
      </c>
      <c r="L12" s="734">
        <v>0</v>
      </c>
    </row>
    <row r="13" spans="1:20" ht="24.95" customHeight="1" x14ac:dyDescent="0.3">
      <c r="A13" s="372" t="s">
        <v>310</v>
      </c>
      <c r="B13" s="422">
        <v>0</v>
      </c>
      <c r="C13" s="726"/>
      <c r="D13" s="734"/>
      <c r="E13" s="372">
        <v>0</v>
      </c>
      <c r="F13" s="726"/>
      <c r="G13" s="734"/>
      <c r="I13" s="372" t="s">
        <v>310</v>
      </c>
      <c r="J13" s="372">
        <v>0</v>
      </c>
      <c r="K13" s="726">
        <v>0</v>
      </c>
      <c r="L13" s="734">
        <v>0</v>
      </c>
    </row>
    <row r="14" spans="1:20" ht="24.95" customHeight="1" x14ac:dyDescent="0.3">
      <c r="A14" s="372" t="s">
        <v>311</v>
      </c>
      <c r="B14" s="422">
        <v>0</v>
      </c>
      <c r="C14" s="726"/>
      <c r="D14" s="734"/>
      <c r="E14" s="372">
        <v>0</v>
      </c>
      <c r="F14" s="726"/>
      <c r="G14" s="734"/>
      <c r="I14" s="372" t="s">
        <v>311</v>
      </c>
      <c r="J14" s="372">
        <v>0</v>
      </c>
      <c r="K14" s="726">
        <v>0</v>
      </c>
      <c r="L14" s="734">
        <v>0</v>
      </c>
    </row>
    <row r="15" spans="1:20" ht="24.95" customHeight="1" x14ac:dyDescent="0.3">
      <c r="A15" s="372" t="s">
        <v>312</v>
      </c>
      <c r="B15" s="422">
        <v>0</v>
      </c>
      <c r="C15" s="726"/>
      <c r="D15" s="734"/>
      <c r="E15" s="372">
        <v>0</v>
      </c>
      <c r="F15" s="726"/>
      <c r="G15" s="734"/>
      <c r="I15" s="372" t="s">
        <v>312</v>
      </c>
      <c r="J15" s="372">
        <v>0</v>
      </c>
      <c r="K15" s="726">
        <v>0</v>
      </c>
      <c r="L15" s="734">
        <v>0</v>
      </c>
    </row>
    <row r="16" spans="1:20" ht="24.95" customHeight="1" x14ac:dyDescent="0.3">
      <c r="A16" s="372" t="s">
        <v>313</v>
      </c>
      <c r="B16" s="422">
        <v>0</v>
      </c>
      <c r="C16" s="726"/>
      <c r="D16" s="734"/>
      <c r="E16" s="372">
        <v>0</v>
      </c>
      <c r="F16" s="726"/>
      <c r="G16" s="734"/>
      <c r="I16" s="372" t="s">
        <v>313</v>
      </c>
      <c r="J16" s="372">
        <v>0</v>
      </c>
      <c r="K16" s="726">
        <v>0</v>
      </c>
      <c r="L16" s="734">
        <v>0</v>
      </c>
    </row>
    <row r="17" spans="1:12" ht="24.95" customHeight="1" x14ac:dyDescent="0.3">
      <c r="A17" s="372" t="s">
        <v>314</v>
      </c>
      <c r="B17" s="422">
        <v>0</v>
      </c>
      <c r="C17" s="726"/>
      <c r="D17" s="734"/>
      <c r="E17" s="372">
        <v>0</v>
      </c>
      <c r="F17" s="726"/>
      <c r="G17" s="734"/>
      <c r="I17" s="372" t="s">
        <v>314</v>
      </c>
      <c r="J17" s="372">
        <v>0</v>
      </c>
      <c r="K17" s="726">
        <v>0</v>
      </c>
      <c r="L17" s="734">
        <v>0</v>
      </c>
    </row>
    <row r="18" spans="1:12" ht="24.95" customHeight="1" x14ac:dyDescent="0.3">
      <c r="A18" s="372" t="s">
        <v>315</v>
      </c>
      <c r="B18" s="422">
        <v>0</v>
      </c>
      <c r="C18" s="726"/>
      <c r="D18" s="734"/>
      <c r="E18" s="372">
        <v>0</v>
      </c>
      <c r="F18" s="726"/>
      <c r="G18" s="734"/>
      <c r="I18" s="372" t="s">
        <v>315</v>
      </c>
      <c r="J18" s="372">
        <v>0</v>
      </c>
      <c r="K18" s="726">
        <v>0</v>
      </c>
      <c r="L18" s="734">
        <v>0</v>
      </c>
    </row>
    <row r="19" spans="1:12" ht="24.95" customHeight="1" x14ac:dyDescent="0.3">
      <c r="A19" s="372" t="s">
        <v>390</v>
      </c>
      <c r="B19" s="422">
        <v>0</v>
      </c>
      <c r="C19" s="726"/>
      <c r="D19" s="734"/>
      <c r="E19" s="372">
        <v>0</v>
      </c>
      <c r="F19" s="726"/>
      <c r="G19" s="734"/>
      <c r="I19" s="372" t="s">
        <v>390</v>
      </c>
      <c r="J19" s="372">
        <v>0</v>
      </c>
      <c r="K19" s="726">
        <v>0</v>
      </c>
      <c r="L19" s="734">
        <v>0</v>
      </c>
    </row>
    <row r="20" spans="1:12" s="415" customFormat="1" ht="24.95" customHeight="1" x14ac:dyDescent="0.3">
      <c r="A20" s="526" t="s">
        <v>12</v>
      </c>
      <c r="B20" s="423">
        <v>0</v>
      </c>
      <c r="C20" s="727">
        <v>0</v>
      </c>
      <c r="D20" s="735">
        <v>0</v>
      </c>
      <c r="E20" s="375">
        <v>0</v>
      </c>
      <c r="F20" s="727">
        <v>0</v>
      </c>
      <c r="G20" s="735">
        <v>0</v>
      </c>
      <c r="I20" s="526" t="s">
        <v>12</v>
      </c>
      <c r="J20" s="375">
        <v>0</v>
      </c>
      <c r="K20" s="727">
        <v>0</v>
      </c>
      <c r="L20" s="735">
        <v>0</v>
      </c>
    </row>
    <row r="21" spans="1:12" ht="24.95" customHeight="1" x14ac:dyDescent="0.3">
      <c r="A21" s="372" t="s">
        <v>391</v>
      </c>
      <c r="B21" s="422">
        <v>0</v>
      </c>
      <c r="C21" s="726"/>
      <c r="D21" s="734"/>
      <c r="E21" s="372">
        <v>0</v>
      </c>
      <c r="F21" s="726"/>
      <c r="G21" s="734"/>
      <c r="I21" s="372" t="s">
        <v>391</v>
      </c>
      <c r="J21" s="372">
        <v>0</v>
      </c>
      <c r="K21" s="726">
        <v>0</v>
      </c>
      <c r="L21" s="734">
        <v>0</v>
      </c>
    </row>
    <row r="22" spans="1:12" ht="24.95" customHeight="1" x14ac:dyDescent="0.3">
      <c r="A22" s="372" t="s">
        <v>392</v>
      </c>
      <c r="B22" s="422">
        <v>0</v>
      </c>
      <c r="C22" s="726"/>
      <c r="D22" s="734"/>
      <c r="E22" s="372">
        <v>0</v>
      </c>
      <c r="F22" s="726"/>
      <c r="G22" s="734"/>
      <c r="I22" s="372" t="s">
        <v>392</v>
      </c>
      <c r="J22" s="372">
        <v>0</v>
      </c>
      <c r="K22" s="726">
        <v>0</v>
      </c>
      <c r="L22" s="734">
        <v>0</v>
      </c>
    </row>
    <row r="23" spans="1:12" ht="24.95" customHeight="1" x14ac:dyDescent="0.3">
      <c r="A23" s="372" t="s">
        <v>393</v>
      </c>
      <c r="B23" s="422">
        <v>0</v>
      </c>
      <c r="C23" s="726"/>
      <c r="D23" s="734"/>
      <c r="E23" s="372">
        <v>0</v>
      </c>
      <c r="F23" s="726"/>
      <c r="G23" s="734"/>
      <c r="I23" s="372" t="s">
        <v>393</v>
      </c>
      <c r="J23" s="372">
        <v>0</v>
      </c>
      <c r="K23" s="726">
        <v>0</v>
      </c>
      <c r="L23" s="734">
        <v>0</v>
      </c>
    </row>
    <row r="24" spans="1:12" ht="24.95" customHeight="1" x14ac:dyDescent="0.3">
      <c r="A24" s="372" t="s">
        <v>394</v>
      </c>
      <c r="B24" s="422">
        <v>0</v>
      </c>
      <c r="C24" s="726"/>
      <c r="D24" s="734"/>
      <c r="E24" s="372">
        <v>0</v>
      </c>
      <c r="F24" s="726"/>
      <c r="G24" s="734"/>
      <c r="I24" s="372" t="s">
        <v>394</v>
      </c>
      <c r="J24" s="372">
        <v>0</v>
      </c>
      <c r="K24" s="726">
        <v>0</v>
      </c>
      <c r="L24" s="734">
        <v>0</v>
      </c>
    </row>
    <row r="25" spans="1:12" ht="24.95" customHeight="1" x14ac:dyDescent="0.3">
      <c r="A25" s="413"/>
      <c r="B25" s="424"/>
      <c r="C25" s="728"/>
      <c r="D25" s="736"/>
      <c r="E25" s="377"/>
      <c r="F25" s="728"/>
      <c r="G25" s="736"/>
      <c r="I25" s="377"/>
      <c r="J25" s="377"/>
      <c r="K25" s="728"/>
      <c r="L25" s="736"/>
    </row>
    <row r="26" spans="1:12" s="339" customFormat="1" x14ac:dyDescent="0.3"/>
    <row r="27" spans="1:12" s="339" customFormat="1" x14ac:dyDescent="0.3"/>
    <row r="28" spans="1:12" s="339" customFormat="1" x14ac:dyDescent="0.3"/>
    <row r="29" spans="1:12" s="339" customFormat="1" x14ac:dyDescent="0.3"/>
    <row r="30" spans="1:12" s="339" customFormat="1" x14ac:dyDescent="0.3"/>
    <row r="31" spans="1:12" s="339" customFormat="1" x14ac:dyDescent="0.3"/>
    <row r="32" spans="1:12" s="339" customFormat="1" x14ac:dyDescent="0.3"/>
    <row r="33" spans="1:12" s="339" customFormat="1" x14ac:dyDescent="0.3"/>
    <row r="34" spans="1:12" s="339" customFormat="1" x14ac:dyDescent="0.3"/>
    <row r="35" spans="1:12" s="339" customFormat="1" x14ac:dyDescent="0.3"/>
    <row r="36" spans="1:12" s="339" customFormat="1" x14ac:dyDescent="0.3"/>
    <row r="37" spans="1:12" x14ac:dyDescent="0.3">
      <c r="A37" s="3513" t="s">
        <v>0</v>
      </c>
      <c r="B37" s="3519" t="s">
        <v>1</v>
      </c>
      <c r="C37" s="3519"/>
      <c r="D37" s="3519"/>
      <c r="E37" s="3520" t="s">
        <v>3</v>
      </c>
      <c r="F37" s="3520"/>
      <c r="G37" s="3520"/>
      <c r="K37" s="339"/>
      <c r="L37" s="339"/>
    </row>
    <row r="38" spans="1:12" x14ac:dyDescent="0.3">
      <c r="A38" s="3514"/>
      <c r="B38" s="418" t="s">
        <v>28</v>
      </c>
      <c r="C38" s="723" t="s">
        <v>34</v>
      </c>
      <c r="D38" s="731" t="s">
        <v>62</v>
      </c>
      <c r="E38" s="380" t="s">
        <v>28</v>
      </c>
      <c r="F38" s="723" t="s">
        <v>34</v>
      </c>
      <c r="G38" s="731" t="s">
        <v>62</v>
      </c>
      <c r="K38" s="339"/>
      <c r="L38" s="339"/>
    </row>
    <row r="39" spans="1:12" ht="19.5" thickBot="1" x14ac:dyDescent="0.35">
      <c r="A39" s="419" t="s">
        <v>28</v>
      </c>
      <c r="B39" s="420">
        <v>0</v>
      </c>
      <c r="C39" s="724">
        <v>0</v>
      </c>
      <c r="D39" s="737">
        <v>0</v>
      </c>
      <c r="E39" s="367">
        <v>0</v>
      </c>
      <c r="F39" s="724">
        <v>0</v>
      </c>
      <c r="G39" s="732">
        <v>0</v>
      </c>
      <c r="K39" s="339"/>
      <c r="L39" s="339"/>
    </row>
    <row r="40" spans="1:12" ht="19.5" thickTop="1" x14ac:dyDescent="0.3">
      <c r="A40" s="369" t="s">
        <v>7</v>
      </c>
      <c r="B40" s="421">
        <v>0</v>
      </c>
      <c r="C40" s="725">
        <v>0</v>
      </c>
      <c r="D40" s="733">
        <v>0</v>
      </c>
      <c r="E40" s="370">
        <v>0</v>
      </c>
      <c r="F40" s="725">
        <v>0</v>
      </c>
      <c r="G40" s="733">
        <v>0</v>
      </c>
      <c r="K40" s="339"/>
      <c r="L40" s="339"/>
    </row>
    <row r="41" spans="1:12" x14ac:dyDescent="0.3">
      <c r="A41" s="398" t="s">
        <v>8</v>
      </c>
      <c r="B41" s="422">
        <v>0</v>
      </c>
      <c r="C41" s="726"/>
      <c r="D41" s="734"/>
      <c r="E41" s="372">
        <v>0</v>
      </c>
      <c r="F41" s="726"/>
      <c r="G41" s="734"/>
      <c r="K41" s="339"/>
      <c r="L41" s="339"/>
    </row>
    <row r="42" spans="1:12" x14ac:dyDescent="0.3">
      <c r="A42" s="398" t="s">
        <v>306</v>
      </c>
      <c r="B42" s="422">
        <v>0</v>
      </c>
      <c r="C42" s="726"/>
      <c r="D42" s="734"/>
      <c r="E42" s="372">
        <v>0</v>
      </c>
      <c r="F42" s="726"/>
      <c r="G42" s="734"/>
      <c r="K42" s="339"/>
      <c r="L42" s="339"/>
    </row>
    <row r="43" spans="1:12" x14ac:dyDescent="0.3">
      <c r="A43" s="372"/>
      <c r="B43" s="422"/>
      <c r="C43" s="726"/>
      <c r="D43" s="734"/>
      <c r="E43" s="372"/>
      <c r="F43" s="726"/>
      <c r="G43" s="734"/>
      <c r="K43" s="339"/>
      <c r="L43" s="339"/>
    </row>
    <row r="44" spans="1:12" x14ac:dyDescent="0.3">
      <c r="A44" s="526" t="s">
        <v>9</v>
      </c>
      <c r="B44" s="423">
        <v>0</v>
      </c>
      <c r="C44" s="727">
        <v>0</v>
      </c>
      <c r="D44" s="735">
        <v>0</v>
      </c>
      <c r="E44" s="375">
        <v>0</v>
      </c>
      <c r="F44" s="727">
        <v>0</v>
      </c>
      <c r="G44" s="735">
        <v>0</v>
      </c>
      <c r="K44" s="339"/>
      <c r="L44" s="339"/>
    </row>
    <row r="45" spans="1:12" x14ac:dyDescent="0.3">
      <c r="A45" s="372" t="s">
        <v>308</v>
      </c>
      <c r="B45" s="422">
        <v>0</v>
      </c>
      <c r="C45" s="726"/>
      <c r="D45" s="734"/>
      <c r="E45" s="372">
        <v>0</v>
      </c>
      <c r="F45" s="726"/>
      <c r="G45" s="734"/>
      <c r="K45" s="339"/>
      <c r="L45" s="339"/>
    </row>
    <row r="46" spans="1:12" x14ac:dyDescent="0.3">
      <c r="A46" s="372" t="s">
        <v>309</v>
      </c>
      <c r="B46" s="422">
        <v>0</v>
      </c>
      <c r="C46" s="726"/>
      <c r="D46" s="734"/>
      <c r="E46" s="372">
        <v>0</v>
      </c>
      <c r="F46" s="726"/>
      <c r="G46" s="734"/>
      <c r="K46" s="339"/>
      <c r="L46" s="339"/>
    </row>
    <row r="47" spans="1:12" x14ac:dyDescent="0.3">
      <c r="A47" s="372" t="s">
        <v>310</v>
      </c>
      <c r="B47" s="422">
        <v>0</v>
      </c>
      <c r="C47" s="726"/>
      <c r="D47" s="734"/>
      <c r="E47" s="372">
        <v>0</v>
      </c>
      <c r="F47" s="726"/>
      <c r="G47" s="734"/>
      <c r="K47" s="339"/>
      <c r="L47" s="339"/>
    </row>
    <row r="48" spans="1:12" x14ac:dyDescent="0.3">
      <c r="A48" s="372" t="s">
        <v>311</v>
      </c>
      <c r="B48" s="422">
        <v>0</v>
      </c>
      <c r="C48" s="726"/>
      <c r="D48" s="734"/>
      <c r="E48" s="372">
        <v>0</v>
      </c>
      <c r="F48" s="726"/>
      <c r="G48" s="734"/>
      <c r="K48" s="339"/>
      <c r="L48" s="339"/>
    </row>
    <row r="49" spans="1:12" x14ac:dyDescent="0.3">
      <c r="A49" s="372" t="s">
        <v>312</v>
      </c>
      <c r="B49" s="422">
        <v>0</v>
      </c>
      <c r="C49" s="726"/>
      <c r="D49" s="734"/>
      <c r="E49" s="372">
        <v>0</v>
      </c>
      <c r="F49" s="726"/>
      <c r="G49" s="734"/>
      <c r="K49" s="339"/>
      <c r="L49" s="339"/>
    </row>
    <row r="50" spans="1:12" x14ac:dyDescent="0.3">
      <c r="A50" s="372" t="s">
        <v>313</v>
      </c>
      <c r="B50" s="422">
        <v>0</v>
      </c>
      <c r="C50" s="726"/>
      <c r="D50" s="734"/>
      <c r="E50" s="372">
        <v>0</v>
      </c>
      <c r="F50" s="726"/>
      <c r="G50" s="734"/>
      <c r="K50" s="339"/>
      <c r="L50" s="339"/>
    </row>
    <row r="51" spans="1:12" x14ac:dyDescent="0.3">
      <c r="A51" s="372" t="s">
        <v>314</v>
      </c>
      <c r="B51" s="422">
        <v>0</v>
      </c>
      <c r="C51" s="726"/>
      <c r="D51" s="734"/>
      <c r="E51" s="372"/>
      <c r="F51" s="726"/>
      <c r="G51" s="734"/>
      <c r="K51" s="339"/>
      <c r="L51" s="339"/>
    </row>
    <row r="52" spans="1:12" x14ac:dyDescent="0.3">
      <c r="A52" s="372" t="s">
        <v>315</v>
      </c>
      <c r="B52" s="422">
        <v>0</v>
      </c>
      <c r="C52" s="726"/>
      <c r="D52" s="734"/>
      <c r="E52" s="372"/>
      <c r="F52" s="726"/>
      <c r="G52" s="734"/>
      <c r="K52" s="339"/>
      <c r="L52" s="339"/>
    </row>
    <row r="53" spans="1:12" x14ac:dyDescent="0.3">
      <c r="A53" s="372" t="s">
        <v>390</v>
      </c>
      <c r="B53" s="422"/>
      <c r="C53" s="726"/>
      <c r="D53" s="734"/>
      <c r="E53" s="372"/>
      <c r="F53" s="726"/>
      <c r="G53" s="734"/>
      <c r="K53" s="339"/>
      <c r="L53" s="339"/>
    </row>
    <row r="54" spans="1:12" x14ac:dyDescent="0.3">
      <c r="A54" s="526" t="s">
        <v>12</v>
      </c>
      <c r="B54" s="423">
        <v>0</v>
      </c>
      <c r="C54" s="727">
        <v>0</v>
      </c>
      <c r="D54" s="735">
        <v>0</v>
      </c>
      <c r="E54" s="375">
        <v>0</v>
      </c>
      <c r="F54" s="727">
        <v>0</v>
      </c>
      <c r="G54" s="735">
        <v>0</v>
      </c>
      <c r="K54" s="339"/>
      <c r="L54" s="339"/>
    </row>
    <row r="55" spans="1:12" x14ac:dyDescent="0.3">
      <c r="A55" s="372" t="s">
        <v>391</v>
      </c>
      <c r="B55" s="422">
        <v>0</v>
      </c>
      <c r="C55" s="726"/>
      <c r="D55" s="734"/>
      <c r="E55" s="372">
        <v>0</v>
      </c>
      <c r="F55" s="726"/>
      <c r="G55" s="734"/>
      <c r="K55" s="339"/>
      <c r="L55" s="339"/>
    </row>
    <row r="56" spans="1:12" x14ac:dyDescent="0.3">
      <c r="A56" s="372" t="s">
        <v>392</v>
      </c>
      <c r="B56" s="422">
        <v>0</v>
      </c>
      <c r="C56" s="726"/>
      <c r="D56" s="734"/>
      <c r="E56" s="372">
        <v>0</v>
      </c>
      <c r="F56" s="726"/>
      <c r="G56" s="734"/>
      <c r="K56" s="339"/>
      <c r="L56" s="339"/>
    </row>
    <row r="57" spans="1:12" x14ac:dyDescent="0.3">
      <c r="A57" s="372" t="s">
        <v>393</v>
      </c>
      <c r="B57" s="422">
        <v>0</v>
      </c>
      <c r="C57" s="726"/>
      <c r="D57" s="734"/>
      <c r="E57" s="372">
        <v>0</v>
      </c>
      <c r="F57" s="726"/>
      <c r="G57" s="734"/>
      <c r="K57" s="339"/>
      <c r="L57" s="339"/>
    </row>
    <row r="58" spans="1:12" x14ac:dyDescent="0.3">
      <c r="A58" s="372" t="s">
        <v>394</v>
      </c>
      <c r="B58" s="422">
        <v>0</v>
      </c>
      <c r="C58" s="726"/>
      <c r="D58" s="734"/>
      <c r="E58" s="372">
        <v>0</v>
      </c>
      <c r="F58" s="726"/>
      <c r="G58" s="734"/>
      <c r="K58" s="339"/>
      <c r="L58" s="339"/>
    </row>
    <row r="59" spans="1:12" x14ac:dyDescent="0.3">
      <c r="A59" s="413"/>
      <c r="B59" s="424"/>
      <c r="C59" s="728"/>
      <c r="D59" s="736"/>
      <c r="E59" s="377"/>
      <c r="F59" s="728"/>
      <c r="G59" s="736"/>
      <c r="K59" s="339"/>
      <c r="L59" s="339"/>
    </row>
    <row r="60" spans="1:12" s="339" customFormat="1" x14ac:dyDescent="0.3"/>
    <row r="61" spans="1:12" s="339" customFormat="1" x14ac:dyDescent="0.3"/>
    <row r="62" spans="1:12" s="339" customFormat="1" x14ac:dyDescent="0.3"/>
    <row r="63" spans="1:12" s="339" customFormat="1" x14ac:dyDescent="0.3"/>
    <row r="64" spans="1:12" s="339" customFormat="1" x14ac:dyDescent="0.3"/>
    <row r="65" spans="1:12" s="339" customFormat="1" x14ac:dyDescent="0.3"/>
    <row r="66" spans="1:12" s="339" customFormat="1" x14ac:dyDescent="0.3"/>
    <row r="67" spans="1:12" s="339" customFormat="1" x14ac:dyDescent="0.3"/>
    <row r="68" spans="1:12" s="339" customFormat="1" x14ac:dyDescent="0.3"/>
    <row r="69" spans="1:12" s="339" customFormat="1" x14ac:dyDescent="0.3"/>
    <row r="70" spans="1:12" s="339" customFormat="1" x14ac:dyDescent="0.3"/>
    <row r="71" spans="1:12" s="339" customFormat="1" x14ac:dyDescent="0.3"/>
    <row r="72" spans="1:12" s="339" customFormat="1" x14ac:dyDescent="0.3"/>
    <row r="73" spans="1:12" s="339" customFormat="1" x14ac:dyDescent="0.3"/>
    <row r="74" spans="1:12" x14ac:dyDescent="0.3">
      <c r="A74" s="3513" t="s">
        <v>0</v>
      </c>
      <c r="B74" s="3519" t="s">
        <v>24</v>
      </c>
      <c r="C74" s="3519"/>
      <c r="D74" s="3519"/>
      <c r="E74" s="3520" t="s">
        <v>23</v>
      </c>
      <c r="F74" s="3520"/>
      <c r="G74" s="3520"/>
      <c r="K74" s="339"/>
      <c r="L74" s="339"/>
    </row>
    <row r="75" spans="1:12" x14ac:dyDescent="0.3">
      <c r="A75" s="3514"/>
      <c r="B75" s="418" t="s">
        <v>28</v>
      </c>
      <c r="C75" s="723" t="s">
        <v>34</v>
      </c>
      <c r="D75" s="731" t="s">
        <v>62</v>
      </c>
      <c r="E75" s="380" t="s">
        <v>28</v>
      </c>
      <c r="F75" s="723" t="s">
        <v>34</v>
      </c>
      <c r="G75" s="731" t="s">
        <v>62</v>
      </c>
      <c r="K75" s="339"/>
      <c r="L75" s="339"/>
    </row>
    <row r="76" spans="1:12" ht="19.5" thickBot="1" x14ac:dyDescent="0.35">
      <c r="A76" s="419" t="s">
        <v>28</v>
      </c>
      <c r="B76" s="420">
        <v>28570</v>
      </c>
      <c r="C76" s="724">
        <v>0</v>
      </c>
      <c r="D76" s="732">
        <v>28570</v>
      </c>
      <c r="E76" s="367">
        <v>0</v>
      </c>
      <c r="F76" s="724">
        <v>0</v>
      </c>
      <c r="G76" s="732">
        <v>0</v>
      </c>
      <c r="K76" s="339"/>
      <c r="L76" s="339"/>
    </row>
    <row r="77" spans="1:12" ht="19.5" thickTop="1" x14ac:dyDescent="0.3">
      <c r="A77" s="369" t="s">
        <v>7</v>
      </c>
      <c r="B77" s="421">
        <v>0</v>
      </c>
      <c r="C77" s="725">
        <v>0</v>
      </c>
      <c r="D77" s="733">
        <v>0</v>
      </c>
      <c r="E77" s="370">
        <v>0</v>
      </c>
      <c r="F77" s="725">
        <v>0</v>
      </c>
      <c r="G77" s="733">
        <v>0</v>
      </c>
      <c r="K77" s="339"/>
      <c r="L77" s="339"/>
    </row>
    <row r="78" spans="1:12" s="596" customFormat="1" x14ac:dyDescent="0.3">
      <c r="A78" s="398" t="s">
        <v>8</v>
      </c>
      <c r="B78" s="422">
        <v>0</v>
      </c>
      <c r="C78" s="726">
        <v>0</v>
      </c>
      <c r="D78" s="734">
        <v>0</v>
      </c>
      <c r="E78" s="373">
        <v>0</v>
      </c>
      <c r="F78" s="743"/>
      <c r="G78" s="741"/>
      <c r="I78" s="339"/>
      <c r="J78" s="339"/>
      <c r="K78" s="339"/>
      <c r="L78" s="339"/>
    </row>
    <row r="79" spans="1:12" x14ac:dyDescent="0.3">
      <c r="A79" s="398" t="s">
        <v>306</v>
      </c>
      <c r="B79" s="422">
        <v>0</v>
      </c>
      <c r="C79" s="726">
        <v>0</v>
      </c>
      <c r="D79" s="734">
        <v>0</v>
      </c>
      <c r="E79" s="372">
        <v>0</v>
      </c>
      <c r="F79" s="743"/>
      <c r="G79" s="741"/>
      <c r="K79" s="339"/>
      <c r="L79" s="339"/>
    </row>
    <row r="80" spans="1:12" x14ac:dyDescent="0.3">
      <c r="A80" s="372"/>
      <c r="B80" s="422"/>
      <c r="C80" s="726"/>
      <c r="D80" s="734"/>
      <c r="E80" s="372"/>
      <c r="F80" s="726"/>
      <c r="G80" s="734"/>
      <c r="K80" s="339"/>
      <c r="L80" s="339"/>
    </row>
    <row r="81" spans="1:12" x14ac:dyDescent="0.3">
      <c r="A81" s="526" t="s">
        <v>9</v>
      </c>
      <c r="B81" s="423">
        <v>28570</v>
      </c>
      <c r="C81" s="727">
        <v>0</v>
      </c>
      <c r="D81" s="735">
        <v>28570</v>
      </c>
      <c r="E81" s="375">
        <v>0</v>
      </c>
      <c r="F81" s="727">
        <v>0</v>
      </c>
      <c r="G81" s="735">
        <v>0</v>
      </c>
      <c r="K81" s="339"/>
      <c r="L81" s="339"/>
    </row>
    <row r="82" spans="1:12" x14ac:dyDescent="0.3">
      <c r="A82" s="372" t="s">
        <v>308</v>
      </c>
      <c r="B82" s="422">
        <v>28570</v>
      </c>
      <c r="C82" s="726">
        <v>0</v>
      </c>
      <c r="D82" s="734">
        <v>28570</v>
      </c>
      <c r="E82" s="372">
        <v>0</v>
      </c>
      <c r="F82" s="743"/>
      <c r="G82" s="741"/>
      <c r="K82" s="339"/>
      <c r="L82" s="339"/>
    </row>
    <row r="83" spans="1:12" x14ac:dyDescent="0.3">
      <c r="A83" s="372" t="s">
        <v>309</v>
      </c>
      <c r="B83" s="422">
        <v>0</v>
      </c>
      <c r="C83" s="726">
        <v>0</v>
      </c>
      <c r="D83" s="734">
        <v>0</v>
      </c>
      <c r="E83" s="372">
        <v>0</v>
      </c>
      <c r="F83" s="743"/>
      <c r="G83" s="741"/>
      <c r="K83" s="339"/>
      <c r="L83" s="339"/>
    </row>
    <row r="84" spans="1:12" x14ac:dyDescent="0.3">
      <c r="A84" s="372" t="s">
        <v>310</v>
      </c>
      <c r="B84" s="422">
        <v>0</v>
      </c>
      <c r="C84" s="726">
        <v>0</v>
      </c>
      <c r="D84" s="734">
        <v>0</v>
      </c>
      <c r="E84" s="372">
        <v>0</v>
      </c>
      <c r="F84" s="743"/>
      <c r="G84" s="741"/>
      <c r="K84" s="339"/>
      <c r="L84" s="339"/>
    </row>
    <row r="85" spans="1:12" x14ac:dyDescent="0.3">
      <c r="A85" s="372" t="s">
        <v>311</v>
      </c>
      <c r="B85" s="422">
        <v>0</v>
      </c>
      <c r="C85" s="726">
        <v>0</v>
      </c>
      <c r="D85" s="734">
        <v>0</v>
      </c>
      <c r="E85" s="372">
        <v>0</v>
      </c>
      <c r="F85" s="743"/>
      <c r="G85" s="741"/>
      <c r="K85" s="339"/>
      <c r="L85" s="339"/>
    </row>
    <row r="86" spans="1:12" x14ac:dyDescent="0.3">
      <c r="A86" s="372" t="s">
        <v>312</v>
      </c>
      <c r="B86" s="422">
        <v>0</v>
      </c>
      <c r="C86" s="726">
        <v>0</v>
      </c>
      <c r="D86" s="734">
        <v>0</v>
      </c>
      <c r="E86" s="372">
        <v>0</v>
      </c>
      <c r="F86" s="743"/>
      <c r="G86" s="741"/>
      <c r="K86" s="339"/>
      <c r="L86" s="339"/>
    </row>
    <row r="87" spans="1:12" x14ac:dyDescent="0.3">
      <c r="A87" s="372" t="s">
        <v>313</v>
      </c>
      <c r="B87" s="422">
        <v>0</v>
      </c>
      <c r="C87" s="726">
        <v>0</v>
      </c>
      <c r="D87" s="734">
        <v>0</v>
      </c>
      <c r="E87" s="372">
        <v>0</v>
      </c>
      <c r="F87" s="743"/>
      <c r="G87" s="741"/>
      <c r="K87" s="339"/>
      <c r="L87" s="339"/>
    </row>
    <row r="88" spans="1:12" x14ac:dyDescent="0.3">
      <c r="A88" s="372" t="s">
        <v>314</v>
      </c>
      <c r="B88" s="422"/>
      <c r="C88" s="726">
        <v>0</v>
      </c>
      <c r="D88" s="734">
        <v>0</v>
      </c>
      <c r="E88" s="372"/>
      <c r="F88" s="743"/>
      <c r="G88" s="741"/>
      <c r="K88" s="339"/>
      <c r="L88" s="339"/>
    </row>
    <row r="89" spans="1:12" x14ac:dyDescent="0.3">
      <c r="A89" s="372" t="s">
        <v>315</v>
      </c>
      <c r="B89" s="422"/>
      <c r="C89" s="726">
        <v>0</v>
      </c>
      <c r="D89" s="734">
        <v>0</v>
      </c>
      <c r="E89" s="372"/>
      <c r="F89" s="743"/>
      <c r="G89" s="741"/>
      <c r="K89" s="339"/>
      <c r="L89" s="339"/>
    </row>
    <row r="90" spans="1:12" x14ac:dyDescent="0.3">
      <c r="A90" s="372" t="s">
        <v>390</v>
      </c>
      <c r="B90" s="422"/>
      <c r="C90" s="726">
        <v>0</v>
      </c>
      <c r="D90" s="734">
        <v>0</v>
      </c>
      <c r="E90" s="372"/>
      <c r="F90" s="726"/>
      <c r="G90" s="734"/>
      <c r="K90" s="339"/>
      <c r="L90" s="339"/>
    </row>
    <row r="91" spans="1:12" x14ac:dyDescent="0.3">
      <c r="A91" s="526" t="s">
        <v>12</v>
      </c>
      <c r="B91" s="423">
        <v>0</v>
      </c>
      <c r="C91" s="727">
        <v>0</v>
      </c>
      <c r="D91" s="735">
        <v>0</v>
      </c>
      <c r="E91" s="375">
        <v>0</v>
      </c>
      <c r="F91" s="727">
        <v>0</v>
      </c>
      <c r="G91" s="735">
        <v>0</v>
      </c>
      <c r="K91" s="339"/>
      <c r="L91" s="339"/>
    </row>
    <row r="92" spans="1:12" s="339" customFormat="1" x14ac:dyDescent="0.3">
      <c r="A92" s="372" t="s">
        <v>391</v>
      </c>
      <c r="B92" s="372">
        <v>0</v>
      </c>
      <c r="C92" s="726">
        <v>0</v>
      </c>
      <c r="D92" s="734">
        <v>0</v>
      </c>
      <c r="E92" s="372">
        <v>0</v>
      </c>
      <c r="F92" s="743"/>
      <c r="G92" s="741"/>
    </row>
    <row r="93" spans="1:12" s="339" customFormat="1" x14ac:dyDescent="0.3">
      <c r="A93" s="372" t="s">
        <v>392</v>
      </c>
      <c r="B93" s="372">
        <v>0</v>
      </c>
      <c r="C93" s="726">
        <v>0</v>
      </c>
      <c r="D93" s="734">
        <v>0</v>
      </c>
      <c r="E93" s="372">
        <v>0</v>
      </c>
      <c r="F93" s="743"/>
      <c r="G93" s="741"/>
    </row>
    <row r="94" spans="1:12" s="339" customFormat="1" x14ac:dyDescent="0.3">
      <c r="A94" s="372" t="s">
        <v>393</v>
      </c>
      <c r="B94" s="372">
        <v>0</v>
      </c>
      <c r="C94" s="726">
        <v>0</v>
      </c>
      <c r="D94" s="734">
        <v>0</v>
      </c>
      <c r="E94" s="372">
        <v>0</v>
      </c>
      <c r="F94" s="743"/>
      <c r="G94" s="741"/>
    </row>
    <row r="95" spans="1:12" s="339" customFormat="1" x14ac:dyDescent="0.3">
      <c r="A95" s="372" t="s">
        <v>394</v>
      </c>
      <c r="B95" s="372">
        <v>0</v>
      </c>
      <c r="C95" s="726">
        <v>0</v>
      </c>
      <c r="D95" s="734">
        <v>0</v>
      </c>
      <c r="E95" s="372">
        <v>0</v>
      </c>
      <c r="F95" s="743"/>
      <c r="G95" s="741"/>
    </row>
    <row r="96" spans="1:12" s="379" customFormat="1" x14ac:dyDescent="0.3">
      <c r="A96" s="373" t="s">
        <v>405</v>
      </c>
      <c r="B96" s="372">
        <v>0</v>
      </c>
      <c r="C96" s="726"/>
      <c r="D96" s="734"/>
      <c r="E96" s="373">
        <v>0</v>
      </c>
      <c r="F96" s="726"/>
      <c r="G96" s="741"/>
      <c r="I96" s="339"/>
      <c r="J96" s="339"/>
      <c r="K96" s="339"/>
      <c r="L96" s="339"/>
    </row>
    <row r="97" spans="1:12" s="379" customFormat="1" x14ac:dyDescent="0.3">
      <c r="A97" s="373" t="s">
        <v>406</v>
      </c>
      <c r="B97" s="373"/>
      <c r="C97" s="743"/>
      <c r="D97" s="741"/>
      <c r="E97" s="373">
        <v>0</v>
      </c>
      <c r="F97" s="743"/>
      <c r="G97" s="741"/>
      <c r="I97" s="339"/>
      <c r="J97" s="339"/>
      <c r="K97" s="339"/>
      <c r="L97" s="339"/>
    </row>
    <row r="98" spans="1:12" s="379" customFormat="1" x14ac:dyDescent="0.3">
      <c r="A98" s="373" t="s">
        <v>407</v>
      </c>
      <c r="B98" s="373"/>
      <c r="C98" s="743"/>
      <c r="D98" s="741"/>
      <c r="E98" s="373">
        <v>0</v>
      </c>
      <c r="F98" s="743"/>
      <c r="G98" s="741"/>
      <c r="I98" s="339"/>
      <c r="J98" s="339"/>
      <c r="K98" s="339"/>
      <c r="L98" s="339"/>
    </row>
    <row r="99" spans="1:12" s="379" customFormat="1" x14ac:dyDescent="0.3">
      <c r="A99" s="373" t="s">
        <v>408</v>
      </c>
      <c r="B99" s="373"/>
      <c r="C99" s="743"/>
      <c r="D99" s="741"/>
      <c r="E99" s="373">
        <v>0</v>
      </c>
      <c r="F99" s="743"/>
      <c r="G99" s="741"/>
      <c r="I99" s="339"/>
      <c r="J99" s="339"/>
      <c r="K99" s="339"/>
      <c r="L99" s="339"/>
    </row>
    <row r="100" spans="1:12" s="721" customFormat="1" x14ac:dyDescent="0.3">
      <c r="A100" s="378"/>
      <c r="B100" s="378"/>
      <c r="C100" s="746"/>
      <c r="D100" s="749"/>
      <c r="E100" s="378"/>
      <c r="F100" s="746"/>
      <c r="G100" s="749"/>
      <c r="I100" s="339"/>
      <c r="J100" s="339"/>
      <c r="K100" s="339"/>
      <c r="L100" s="339"/>
    </row>
    <row r="101" spans="1:12" s="339" customFormat="1" x14ac:dyDescent="0.3"/>
    <row r="102" spans="1:12" s="339" customFormat="1" x14ac:dyDescent="0.3"/>
    <row r="103" spans="1:12" s="339" customFormat="1" x14ac:dyDescent="0.3"/>
    <row r="104" spans="1:12" s="339" customFormat="1" x14ac:dyDescent="0.3"/>
    <row r="105" spans="1:12" s="339" customFormat="1" x14ac:dyDescent="0.3"/>
    <row r="106" spans="1:12" s="339" customFormat="1" x14ac:dyDescent="0.3"/>
    <row r="107" spans="1:12" s="339" customFormat="1" x14ac:dyDescent="0.3"/>
    <row r="108" spans="1:12" s="339" customFormat="1" x14ac:dyDescent="0.3"/>
    <row r="109" spans="1:12" s="339" customFormat="1" x14ac:dyDescent="0.3"/>
    <row r="110" spans="1:12" s="339" customFormat="1" x14ac:dyDescent="0.3"/>
    <row r="111" spans="1:12" s="339" customFormat="1" x14ac:dyDescent="0.3"/>
    <row r="112" spans="1:12" s="339" customFormat="1" x14ac:dyDescent="0.3"/>
    <row r="113" spans="1:12" s="339" customFormat="1" x14ac:dyDescent="0.3"/>
    <row r="114" spans="1:12" s="339" customFormat="1" x14ac:dyDescent="0.3"/>
    <row r="115" spans="1:12" x14ac:dyDescent="0.3">
      <c r="A115" s="3513" t="s">
        <v>0</v>
      </c>
      <c r="B115" s="3519" t="s">
        <v>4</v>
      </c>
      <c r="C115" s="3519"/>
      <c r="D115" s="3519"/>
      <c r="E115" s="3520" t="s">
        <v>20</v>
      </c>
      <c r="F115" s="3520"/>
      <c r="G115" s="3520"/>
      <c r="K115" s="339"/>
      <c r="L115" s="339"/>
    </row>
    <row r="116" spans="1:12" x14ac:dyDescent="0.3">
      <c r="A116" s="3514"/>
      <c r="B116" s="418" t="s">
        <v>28</v>
      </c>
      <c r="C116" s="723" t="s">
        <v>34</v>
      </c>
      <c r="D116" s="731" t="s">
        <v>62</v>
      </c>
      <c r="E116" s="380" t="s">
        <v>28</v>
      </c>
      <c r="F116" s="723" t="s">
        <v>34</v>
      </c>
      <c r="G116" s="731" t="s">
        <v>62</v>
      </c>
      <c r="K116" s="339"/>
      <c r="L116" s="339"/>
    </row>
    <row r="117" spans="1:12" ht="19.5" thickBot="1" x14ac:dyDescent="0.35">
      <c r="A117" s="419" t="s">
        <v>28</v>
      </c>
      <c r="B117" s="420">
        <v>0</v>
      </c>
      <c r="C117" s="724">
        <v>0</v>
      </c>
      <c r="D117" s="732">
        <v>0</v>
      </c>
      <c r="E117" s="367">
        <v>0</v>
      </c>
      <c r="F117" s="724">
        <v>0</v>
      </c>
      <c r="G117" s="732">
        <v>0</v>
      </c>
      <c r="K117" s="339"/>
      <c r="L117" s="339"/>
    </row>
    <row r="118" spans="1:12" ht="19.5" thickTop="1" x14ac:dyDescent="0.3">
      <c r="A118" s="369" t="s">
        <v>7</v>
      </c>
      <c r="B118" s="421">
        <v>0</v>
      </c>
      <c r="C118" s="725">
        <v>0</v>
      </c>
      <c r="D118" s="733">
        <v>0</v>
      </c>
      <c r="E118" s="370">
        <v>0</v>
      </c>
      <c r="F118" s="725">
        <v>0</v>
      </c>
      <c r="G118" s="733">
        <v>0</v>
      </c>
      <c r="K118" s="339"/>
      <c r="L118" s="339"/>
    </row>
    <row r="119" spans="1:12" x14ac:dyDescent="0.3">
      <c r="A119" s="398" t="s">
        <v>8</v>
      </c>
      <c r="B119" s="422">
        <v>0</v>
      </c>
      <c r="C119" s="726"/>
      <c r="D119" s="734"/>
      <c r="E119" s="372">
        <v>0</v>
      </c>
      <c r="F119" s="726"/>
      <c r="G119" s="734"/>
      <c r="K119" s="339"/>
      <c r="L119" s="339"/>
    </row>
    <row r="120" spans="1:12" x14ac:dyDescent="0.3">
      <c r="A120" s="398" t="s">
        <v>306</v>
      </c>
      <c r="B120" s="422">
        <v>0</v>
      </c>
      <c r="C120" s="726"/>
      <c r="D120" s="734"/>
      <c r="E120" s="372">
        <v>0</v>
      </c>
      <c r="F120" s="726"/>
      <c r="G120" s="734"/>
      <c r="K120" s="339"/>
      <c r="L120" s="339"/>
    </row>
    <row r="121" spans="1:12" x14ac:dyDescent="0.3">
      <c r="A121" s="372"/>
      <c r="B121" s="422"/>
      <c r="C121" s="726"/>
      <c r="D121" s="734"/>
      <c r="E121" s="372"/>
      <c r="F121" s="726"/>
      <c r="G121" s="734"/>
      <c r="K121" s="339"/>
      <c r="L121" s="339"/>
    </row>
    <row r="122" spans="1:12" x14ac:dyDescent="0.3">
      <c r="A122" s="526" t="s">
        <v>9</v>
      </c>
      <c r="B122" s="422">
        <v>0</v>
      </c>
      <c r="C122" s="728">
        <v>0</v>
      </c>
      <c r="D122" s="736">
        <v>0</v>
      </c>
      <c r="E122" s="372">
        <v>0</v>
      </c>
      <c r="F122" s="728">
        <v>0</v>
      </c>
      <c r="G122" s="736">
        <v>0</v>
      </c>
      <c r="K122" s="339"/>
      <c r="L122" s="339"/>
    </row>
    <row r="123" spans="1:12" x14ac:dyDescent="0.3">
      <c r="A123" s="372" t="s">
        <v>308</v>
      </c>
      <c r="B123" s="933">
        <v>0</v>
      </c>
      <c r="C123" s="726"/>
      <c r="D123" s="734"/>
      <c r="E123" s="934">
        <v>0</v>
      </c>
      <c r="F123" s="726"/>
      <c r="G123" s="734"/>
      <c r="K123" s="339"/>
      <c r="L123" s="339"/>
    </row>
    <row r="124" spans="1:12" x14ac:dyDescent="0.3">
      <c r="A124" s="372" t="s">
        <v>309</v>
      </c>
      <c r="B124" s="422">
        <v>0</v>
      </c>
      <c r="C124" s="726"/>
      <c r="D124" s="734"/>
      <c r="E124" s="372">
        <v>0</v>
      </c>
      <c r="F124" s="726"/>
      <c r="G124" s="734"/>
      <c r="K124" s="339"/>
      <c r="L124" s="339"/>
    </row>
    <row r="125" spans="1:12" x14ac:dyDescent="0.3">
      <c r="A125" s="372" t="s">
        <v>310</v>
      </c>
      <c r="B125" s="422">
        <v>0</v>
      </c>
      <c r="C125" s="726"/>
      <c r="D125" s="734"/>
      <c r="E125" s="372">
        <v>0</v>
      </c>
      <c r="F125" s="726"/>
      <c r="G125" s="734"/>
      <c r="K125" s="339"/>
      <c r="L125" s="339"/>
    </row>
    <row r="126" spans="1:12" x14ac:dyDescent="0.3">
      <c r="A126" s="372" t="s">
        <v>311</v>
      </c>
      <c r="B126" s="422">
        <v>0</v>
      </c>
      <c r="C126" s="726"/>
      <c r="D126" s="734"/>
      <c r="E126" s="372">
        <v>0</v>
      </c>
      <c r="F126" s="726"/>
      <c r="G126" s="734"/>
      <c r="K126" s="339"/>
      <c r="L126" s="339"/>
    </row>
    <row r="127" spans="1:12" x14ac:dyDescent="0.3">
      <c r="A127" s="372" t="s">
        <v>312</v>
      </c>
      <c r="B127" s="422">
        <v>0</v>
      </c>
      <c r="C127" s="726"/>
      <c r="D127" s="734"/>
      <c r="E127" s="372">
        <v>0</v>
      </c>
      <c r="F127" s="726"/>
      <c r="G127" s="734"/>
      <c r="K127" s="339"/>
      <c r="L127" s="339"/>
    </row>
    <row r="128" spans="1:12" x14ac:dyDescent="0.3">
      <c r="A128" s="372" t="s">
        <v>313</v>
      </c>
      <c r="B128" s="422">
        <v>0</v>
      </c>
      <c r="C128" s="726"/>
      <c r="D128" s="734"/>
      <c r="E128" s="372">
        <v>0</v>
      </c>
      <c r="F128" s="726"/>
      <c r="G128" s="734"/>
      <c r="K128" s="339"/>
      <c r="L128" s="339"/>
    </row>
    <row r="129" spans="1:12" x14ac:dyDescent="0.3">
      <c r="A129" s="372" t="s">
        <v>314</v>
      </c>
      <c r="B129" s="422">
        <v>0</v>
      </c>
      <c r="C129" s="726"/>
      <c r="D129" s="734"/>
      <c r="E129" s="372">
        <v>0</v>
      </c>
      <c r="F129" s="726"/>
      <c r="G129" s="734"/>
      <c r="K129" s="339"/>
      <c r="L129" s="339"/>
    </row>
    <row r="130" spans="1:12" x14ac:dyDescent="0.3">
      <c r="A130" s="372" t="s">
        <v>315</v>
      </c>
      <c r="B130" s="422"/>
      <c r="C130" s="726"/>
      <c r="D130" s="734"/>
      <c r="E130" s="372"/>
      <c r="F130" s="726"/>
      <c r="G130" s="734"/>
      <c r="K130" s="339"/>
      <c r="L130" s="339"/>
    </row>
    <row r="131" spans="1:12" x14ac:dyDescent="0.3">
      <c r="A131" s="372" t="s">
        <v>390</v>
      </c>
      <c r="B131" s="935"/>
      <c r="C131" s="936"/>
      <c r="D131" s="937"/>
      <c r="E131" s="526"/>
      <c r="F131" s="936"/>
      <c r="G131" s="937"/>
      <c r="K131" s="339"/>
      <c r="L131" s="339"/>
    </row>
    <row r="132" spans="1:12" x14ac:dyDescent="0.3">
      <c r="A132" s="526" t="s">
        <v>12</v>
      </c>
      <c r="B132" s="424">
        <v>0</v>
      </c>
      <c r="C132" s="728">
        <v>0</v>
      </c>
      <c r="D132" s="736">
        <v>0</v>
      </c>
      <c r="E132" s="377">
        <v>0</v>
      </c>
      <c r="F132" s="728">
        <v>0</v>
      </c>
      <c r="G132" s="736">
        <v>0</v>
      </c>
      <c r="K132" s="339"/>
      <c r="L132" s="339"/>
    </row>
    <row r="133" spans="1:12" x14ac:dyDescent="0.3">
      <c r="A133" s="372" t="s">
        <v>391</v>
      </c>
      <c r="B133" s="422">
        <v>0</v>
      </c>
      <c r="C133" s="726"/>
      <c r="D133" s="734"/>
      <c r="E133" s="372">
        <v>0</v>
      </c>
      <c r="F133" s="726"/>
      <c r="G133" s="734"/>
      <c r="K133" s="339"/>
      <c r="L133" s="339"/>
    </row>
    <row r="134" spans="1:12" x14ac:dyDescent="0.3">
      <c r="A134" s="372" t="s">
        <v>392</v>
      </c>
      <c r="B134" s="422">
        <v>0</v>
      </c>
      <c r="C134" s="726"/>
      <c r="D134" s="734"/>
      <c r="E134" s="372">
        <v>0</v>
      </c>
      <c r="F134" s="726"/>
      <c r="G134" s="734"/>
      <c r="K134" s="339"/>
      <c r="L134" s="339"/>
    </row>
    <row r="135" spans="1:12" x14ac:dyDescent="0.3">
      <c r="A135" s="372" t="s">
        <v>393</v>
      </c>
      <c r="B135" s="422">
        <v>0</v>
      </c>
      <c r="C135" s="726"/>
      <c r="D135" s="734"/>
      <c r="E135" s="372">
        <v>0</v>
      </c>
      <c r="F135" s="726"/>
      <c r="G135" s="734"/>
      <c r="K135" s="339"/>
      <c r="L135" s="339"/>
    </row>
    <row r="136" spans="1:12" x14ac:dyDescent="0.3">
      <c r="A136" s="372" t="s">
        <v>394</v>
      </c>
      <c r="B136" s="422">
        <v>0</v>
      </c>
      <c r="C136" s="726"/>
      <c r="D136" s="734"/>
      <c r="E136" s="372">
        <v>0</v>
      </c>
      <c r="F136" s="726"/>
      <c r="G136" s="734"/>
      <c r="K136" s="339"/>
      <c r="L136" s="339"/>
    </row>
    <row r="137" spans="1:12" x14ac:dyDescent="0.3">
      <c r="A137" s="413"/>
      <c r="B137" s="424"/>
      <c r="C137" s="728"/>
      <c r="D137" s="736"/>
      <c r="E137" s="377"/>
      <c r="F137" s="728"/>
      <c r="G137" s="736"/>
      <c r="K137" s="339"/>
      <c r="L137" s="339"/>
    </row>
    <row r="138" spans="1:12" s="339" customFormat="1" x14ac:dyDescent="0.3"/>
    <row r="139" spans="1:12" s="339" customFormat="1" x14ac:dyDescent="0.3"/>
    <row r="140" spans="1:12" s="339" customFormat="1" x14ac:dyDescent="0.3"/>
    <row r="141" spans="1:12" s="339" customFormat="1" x14ac:dyDescent="0.3"/>
    <row r="142" spans="1:12" s="339" customFormat="1" x14ac:dyDescent="0.3"/>
    <row r="143" spans="1:12" s="339" customFormat="1" x14ac:dyDescent="0.3"/>
    <row r="144" spans="1:12" s="339" customFormat="1" x14ac:dyDescent="0.3"/>
    <row r="145" spans="1:12" s="339" customFormat="1" x14ac:dyDescent="0.3"/>
    <row r="146" spans="1:12" s="339" customFormat="1" x14ac:dyDescent="0.3"/>
    <row r="147" spans="1:12" s="339" customFormat="1" x14ac:dyDescent="0.3"/>
    <row r="148" spans="1:12" s="339" customFormat="1" x14ac:dyDescent="0.3"/>
    <row r="149" spans="1:12" s="339" customFormat="1" x14ac:dyDescent="0.3"/>
    <row r="150" spans="1:12" s="339" customFormat="1" x14ac:dyDescent="0.3"/>
    <row r="151" spans="1:12" s="339" customFormat="1" x14ac:dyDescent="0.3"/>
    <row r="152" spans="1:12" x14ac:dyDescent="0.3">
      <c r="A152" s="3513" t="s">
        <v>0</v>
      </c>
      <c r="B152" s="3519" t="s">
        <v>5</v>
      </c>
      <c r="C152" s="3519"/>
      <c r="D152" s="3519"/>
      <c r="E152" s="3520" t="s">
        <v>21</v>
      </c>
      <c r="F152" s="3520"/>
      <c r="G152" s="3520"/>
      <c r="K152" s="339"/>
      <c r="L152" s="339"/>
    </row>
    <row r="153" spans="1:12" x14ac:dyDescent="0.3">
      <c r="A153" s="3514"/>
      <c r="B153" s="418" t="s">
        <v>28</v>
      </c>
      <c r="C153" s="723" t="s">
        <v>34</v>
      </c>
      <c r="D153" s="731" t="s">
        <v>62</v>
      </c>
      <c r="E153" s="380" t="s">
        <v>28</v>
      </c>
      <c r="F153" s="723" t="s">
        <v>34</v>
      </c>
      <c r="G153" s="731" t="s">
        <v>62</v>
      </c>
      <c r="K153" s="339"/>
      <c r="L153" s="339"/>
    </row>
    <row r="154" spans="1:12" ht="19.5" thickBot="1" x14ac:dyDescent="0.35">
      <c r="A154" s="419" t="s">
        <v>28</v>
      </c>
      <c r="B154" s="420">
        <v>0</v>
      </c>
      <c r="C154" s="724">
        <v>0</v>
      </c>
      <c r="D154" s="732">
        <v>0</v>
      </c>
      <c r="E154" s="368">
        <v>0</v>
      </c>
      <c r="F154" s="747">
        <v>0</v>
      </c>
      <c r="G154" s="732">
        <v>0</v>
      </c>
      <c r="K154" s="339"/>
      <c r="L154" s="339"/>
    </row>
    <row r="155" spans="1:12" ht="19.5" thickTop="1" x14ac:dyDescent="0.3">
      <c r="A155" s="369" t="s">
        <v>7</v>
      </c>
      <c r="B155" s="421">
        <v>0</v>
      </c>
      <c r="C155" s="725">
        <v>0</v>
      </c>
      <c r="D155" s="733">
        <v>0</v>
      </c>
      <c r="E155" s="370">
        <v>0</v>
      </c>
      <c r="F155" s="725">
        <v>0</v>
      </c>
      <c r="G155" s="733">
        <v>0</v>
      </c>
      <c r="K155" s="339"/>
      <c r="L155" s="339"/>
    </row>
    <row r="156" spans="1:12" x14ac:dyDescent="0.3">
      <c r="A156" s="398" t="s">
        <v>8</v>
      </c>
      <c r="B156" s="422">
        <v>0</v>
      </c>
      <c r="C156" s="726"/>
      <c r="D156" s="734"/>
      <c r="E156" s="372">
        <v>0</v>
      </c>
      <c r="F156" s="726"/>
      <c r="G156" s="734"/>
      <c r="K156" s="339"/>
      <c r="L156" s="339"/>
    </row>
    <row r="157" spans="1:12" x14ac:dyDescent="0.3">
      <c r="A157" s="398" t="s">
        <v>306</v>
      </c>
      <c r="B157" s="422">
        <v>0</v>
      </c>
      <c r="C157" s="726"/>
      <c r="D157" s="734"/>
      <c r="E157" s="372">
        <v>0</v>
      </c>
      <c r="F157" s="726"/>
      <c r="G157" s="734"/>
      <c r="K157" s="339"/>
      <c r="L157" s="339"/>
    </row>
    <row r="158" spans="1:12" x14ac:dyDescent="0.3">
      <c r="A158" s="372"/>
      <c r="B158" s="422"/>
      <c r="C158" s="726"/>
      <c r="D158" s="734"/>
      <c r="E158" s="372"/>
      <c r="F158" s="726"/>
      <c r="G158" s="734"/>
      <c r="K158" s="339"/>
      <c r="L158" s="339"/>
    </row>
    <row r="159" spans="1:12" x14ac:dyDescent="0.3">
      <c r="A159" s="526" t="s">
        <v>9</v>
      </c>
      <c r="B159" s="425">
        <v>0</v>
      </c>
      <c r="C159" s="727">
        <v>0</v>
      </c>
      <c r="D159" s="738">
        <v>0</v>
      </c>
      <c r="E159" s="375">
        <v>0</v>
      </c>
      <c r="F159" s="727">
        <v>0</v>
      </c>
      <c r="G159" s="735">
        <v>0</v>
      </c>
      <c r="K159" s="339"/>
      <c r="L159" s="339"/>
    </row>
    <row r="160" spans="1:12" x14ac:dyDescent="0.3">
      <c r="A160" s="372" t="s">
        <v>308</v>
      </c>
      <c r="B160" s="426">
        <v>0</v>
      </c>
      <c r="C160" s="726"/>
      <c r="D160" s="739"/>
      <c r="E160" s="372">
        <v>0</v>
      </c>
      <c r="F160" s="726"/>
      <c r="G160" s="734"/>
      <c r="K160" s="339"/>
      <c r="L160" s="339"/>
    </row>
    <row r="161" spans="1:12" x14ac:dyDescent="0.3">
      <c r="A161" s="372" t="s">
        <v>309</v>
      </c>
      <c r="B161" s="422">
        <v>0</v>
      </c>
      <c r="C161" s="726"/>
      <c r="D161" s="734"/>
      <c r="E161" s="372">
        <v>0</v>
      </c>
      <c r="F161" s="726"/>
      <c r="G161" s="734"/>
      <c r="K161" s="339"/>
      <c r="L161" s="339"/>
    </row>
    <row r="162" spans="1:12" x14ac:dyDescent="0.3">
      <c r="A162" s="372" t="s">
        <v>310</v>
      </c>
      <c r="B162" s="422">
        <v>0</v>
      </c>
      <c r="C162" s="726"/>
      <c r="D162" s="734"/>
      <c r="E162" s="372">
        <v>0</v>
      </c>
      <c r="F162" s="726"/>
      <c r="G162" s="734"/>
      <c r="K162" s="339"/>
      <c r="L162" s="339"/>
    </row>
    <row r="163" spans="1:12" x14ac:dyDescent="0.3">
      <c r="A163" s="372" t="s">
        <v>311</v>
      </c>
      <c r="B163" s="422">
        <v>0</v>
      </c>
      <c r="C163" s="726"/>
      <c r="D163" s="734"/>
      <c r="E163" s="372">
        <v>0</v>
      </c>
      <c r="F163" s="726"/>
      <c r="G163" s="734"/>
      <c r="K163" s="339"/>
      <c r="L163" s="339"/>
    </row>
    <row r="164" spans="1:12" x14ac:dyDescent="0.3">
      <c r="A164" s="372" t="s">
        <v>312</v>
      </c>
      <c r="B164" s="422">
        <v>0</v>
      </c>
      <c r="C164" s="726"/>
      <c r="D164" s="734"/>
      <c r="E164" s="372">
        <v>0</v>
      </c>
      <c r="F164" s="726"/>
      <c r="G164" s="734"/>
      <c r="K164" s="339"/>
      <c r="L164" s="339"/>
    </row>
    <row r="165" spans="1:12" x14ac:dyDescent="0.3">
      <c r="A165" s="372" t="s">
        <v>313</v>
      </c>
      <c r="B165" s="422">
        <v>0</v>
      </c>
      <c r="C165" s="726"/>
      <c r="D165" s="734"/>
      <c r="E165" s="372">
        <v>0</v>
      </c>
      <c r="F165" s="726"/>
      <c r="G165" s="734"/>
      <c r="K165" s="339"/>
      <c r="L165" s="339"/>
    </row>
    <row r="166" spans="1:12" x14ac:dyDescent="0.3">
      <c r="A166" s="372" t="s">
        <v>314</v>
      </c>
      <c r="B166" s="422">
        <v>0</v>
      </c>
      <c r="C166" s="726"/>
      <c r="D166" s="734"/>
      <c r="E166" s="372"/>
      <c r="F166" s="726"/>
      <c r="G166" s="734"/>
      <c r="K166" s="339"/>
      <c r="L166" s="339"/>
    </row>
    <row r="167" spans="1:12" x14ac:dyDescent="0.3">
      <c r="A167" s="372" t="s">
        <v>315</v>
      </c>
      <c r="B167" s="422">
        <v>0</v>
      </c>
      <c r="C167" s="726"/>
      <c r="D167" s="734"/>
      <c r="E167" s="372"/>
      <c r="F167" s="726"/>
      <c r="G167" s="734"/>
      <c r="K167" s="339"/>
      <c r="L167" s="339"/>
    </row>
    <row r="168" spans="1:12" x14ac:dyDescent="0.3">
      <c r="A168" s="372" t="s">
        <v>390</v>
      </c>
      <c r="B168" s="422"/>
      <c r="C168" s="726"/>
      <c r="D168" s="734"/>
      <c r="E168" s="372"/>
      <c r="F168" s="726"/>
      <c r="G168" s="734"/>
      <c r="K168" s="339"/>
      <c r="L168" s="339"/>
    </row>
    <row r="169" spans="1:12" x14ac:dyDescent="0.3">
      <c r="A169" s="526" t="s">
        <v>12</v>
      </c>
      <c r="B169" s="423">
        <v>0</v>
      </c>
      <c r="C169" s="727">
        <v>0</v>
      </c>
      <c r="D169" s="735">
        <v>0</v>
      </c>
      <c r="E169" s="376">
        <v>0</v>
      </c>
      <c r="F169" s="727">
        <v>0</v>
      </c>
      <c r="G169" s="735">
        <v>0</v>
      </c>
      <c r="K169" s="339"/>
      <c r="L169" s="339"/>
    </row>
    <row r="170" spans="1:12" x14ac:dyDescent="0.3">
      <c r="A170" s="372" t="s">
        <v>391</v>
      </c>
      <c r="B170" s="422">
        <v>0</v>
      </c>
      <c r="C170" s="726"/>
      <c r="D170" s="734"/>
      <c r="E170" s="372">
        <v>0</v>
      </c>
      <c r="F170" s="726"/>
      <c r="G170" s="734"/>
      <c r="K170" s="339"/>
      <c r="L170" s="339"/>
    </row>
    <row r="171" spans="1:12" x14ac:dyDescent="0.3">
      <c r="A171" s="372" t="s">
        <v>392</v>
      </c>
      <c r="B171" s="422">
        <v>0</v>
      </c>
      <c r="C171" s="726"/>
      <c r="D171" s="734"/>
      <c r="E171" s="372">
        <v>0</v>
      </c>
      <c r="F171" s="726"/>
      <c r="G171" s="734"/>
      <c r="K171" s="339"/>
      <c r="L171" s="339"/>
    </row>
    <row r="172" spans="1:12" x14ac:dyDescent="0.3">
      <c r="A172" s="372" t="s">
        <v>393</v>
      </c>
      <c r="B172" s="422">
        <v>0</v>
      </c>
      <c r="C172" s="726"/>
      <c r="D172" s="734"/>
      <c r="E172" s="372">
        <v>0</v>
      </c>
      <c r="F172" s="726"/>
      <c r="G172" s="734"/>
      <c r="K172" s="339"/>
      <c r="L172" s="339"/>
    </row>
    <row r="173" spans="1:12" x14ac:dyDescent="0.3">
      <c r="A173" s="372" t="s">
        <v>394</v>
      </c>
      <c r="B173" s="422">
        <v>0</v>
      </c>
      <c r="C173" s="726"/>
      <c r="D173" s="734"/>
      <c r="E173" s="374">
        <v>0</v>
      </c>
      <c r="F173" s="726"/>
      <c r="G173" s="734"/>
      <c r="K173" s="339"/>
      <c r="L173" s="339"/>
    </row>
    <row r="174" spans="1:12" x14ac:dyDescent="0.3">
      <c r="A174" s="413"/>
      <c r="B174" s="424"/>
      <c r="C174" s="728"/>
      <c r="D174" s="736"/>
      <c r="E174" s="377"/>
      <c r="F174" s="728"/>
      <c r="G174" s="736"/>
      <c r="K174" s="339"/>
      <c r="L174" s="339"/>
    </row>
  </sheetData>
  <mergeCells count="17">
    <mergeCell ref="A37:A38"/>
    <mergeCell ref="B37:D37"/>
    <mergeCell ref="E37:G37"/>
    <mergeCell ref="A152:A153"/>
    <mergeCell ref="B152:D152"/>
    <mergeCell ref="E152:G152"/>
    <mergeCell ref="A74:A75"/>
    <mergeCell ref="B74:D74"/>
    <mergeCell ref="E74:G74"/>
    <mergeCell ref="A115:A116"/>
    <mergeCell ref="B115:D115"/>
    <mergeCell ref="E115:G115"/>
    <mergeCell ref="A3:A4"/>
    <mergeCell ref="B3:D3"/>
    <mergeCell ref="E3:G3"/>
    <mergeCell ref="I3:I4"/>
    <mergeCell ref="J3:L3"/>
  </mergeCells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A1865-0FA4-49AF-9756-7EF470FD43D0}">
  <sheetPr>
    <tabColor theme="6" tint="-0.249977111117893"/>
  </sheetPr>
  <dimension ref="A1:T381"/>
  <sheetViews>
    <sheetView topLeftCell="A70" zoomScaleNormal="100" workbookViewId="0">
      <selection activeCell="A70" sqref="A1:XFD1048576"/>
    </sheetView>
  </sheetViews>
  <sheetFormatPr defaultColWidth="9.140625" defaultRowHeight="18.75" x14ac:dyDescent="0.3"/>
  <cols>
    <col min="1" max="1" width="22.5703125" style="395" customWidth="1"/>
    <col min="2" max="2" width="10" style="414" customWidth="1"/>
    <col min="3" max="3" width="10.140625" style="722" customWidth="1"/>
    <col min="4" max="4" width="9" style="730" customWidth="1"/>
    <col min="5" max="5" width="12" style="339" customWidth="1"/>
    <col min="6" max="6" width="13.85546875" style="722" customWidth="1"/>
    <col min="7" max="7" width="10.85546875" style="730" customWidth="1"/>
    <col min="8" max="8" width="11" style="395" bestFit="1" customWidth="1"/>
    <col min="9" max="9" width="23.28515625" style="339" customWidth="1"/>
    <col min="10" max="10" width="9.7109375" style="339" customWidth="1"/>
    <col min="11" max="11" width="10.28515625" style="722" customWidth="1"/>
    <col min="12" max="12" width="9.28515625" style="730" customWidth="1"/>
    <col min="13" max="14" width="10.42578125" style="395" customWidth="1"/>
    <col min="15" max="15" width="9.140625" style="395"/>
    <col min="16" max="16" width="19.140625" style="395" customWidth="1"/>
    <col min="17" max="16384" width="9.140625" style="395"/>
  </cols>
  <sheetData>
    <row r="1" spans="1:20" x14ac:dyDescent="0.3">
      <c r="A1" s="415" t="s">
        <v>952</v>
      </c>
      <c r="K1" s="339"/>
      <c r="L1" s="382"/>
      <c r="N1" s="416"/>
      <c r="Q1" s="472"/>
      <c r="R1" s="472"/>
      <c r="S1" s="473"/>
      <c r="T1" s="474"/>
    </row>
    <row r="2" spans="1:20" x14ac:dyDescent="0.3">
      <c r="K2" s="339"/>
      <c r="L2" s="339"/>
      <c r="Q2" s="472"/>
      <c r="R2" s="472"/>
      <c r="S2" s="476"/>
      <c r="T2" s="472"/>
    </row>
    <row r="3" spans="1:20" ht="24.95" customHeight="1" x14ac:dyDescent="0.3">
      <c r="A3" s="3513" t="s">
        <v>0</v>
      </c>
      <c r="B3" s="3519" t="s">
        <v>6</v>
      </c>
      <c r="C3" s="3519"/>
      <c r="D3" s="3519"/>
      <c r="E3" s="3520" t="s">
        <v>2</v>
      </c>
      <c r="F3" s="3520"/>
      <c r="G3" s="3520"/>
      <c r="I3" s="3516" t="s">
        <v>0</v>
      </c>
      <c r="J3" s="3518" t="s">
        <v>28</v>
      </c>
      <c r="K3" s="3518"/>
      <c r="L3" s="3518"/>
      <c r="N3" s="417"/>
      <c r="Q3" s="472"/>
      <c r="R3" s="472"/>
      <c r="S3" s="472"/>
      <c r="T3" s="472"/>
    </row>
    <row r="4" spans="1:20" ht="24.95" customHeight="1" x14ac:dyDescent="0.3">
      <c r="A4" s="3514"/>
      <c r="B4" s="418" t="s">
        <v>28</v>
      </c>
      <c r="C4" s="723" t="s">
        <v>34</v>
      </c>
      <c r="D4" s="731" t="s">
        <v>62</v>
      </c>
      <c r="E4" s="380" t="s">
        <v>28</v>
      </c>
      <c r="F4" s="723" t="s">
        <v>34</v>
      </c>
      <c r="G4" s="731" t="s">
        <v>62</v>
      </c>
      <c r="I4" s="3517"/>
      <c r="J4" s="380" t="s">
        <v>28</v>
      </c>
      <c r="K4" s="723" t="s">
        <v>34</v>
      </c>
      <c r="L4" s="731" t="s">
        <v>62</v>
      </c>
    </row>
    <row r="5" spans="1:20" ht="24.95" customHeight="1" thickBot="1" x14ac:dyDescent="0.35">
      <c r="A5" s="419" t="s">
        <v>28</v>
      </c>
      <c r="B5" s="420">
        <v>134516</v>
      </c>
      <c r="C5" s="724">
        <v>119516</v>
      </c>
      <c r="D5" s="732">
        <v>15000</v>
      </c>
      <c r="E5" s="367">
        <v>0</v>
      </c>
      <c r="F5" s="724">
        <v>0</v>
      </c>
      <c r="G5" s="732">
        <v>0</v>
      </c>
      <c r="I5" s="525" t="s">
        <v>28</v>
      </c>
      <c r="J5" s="367">
        <v>134516</v>
      </c>
      <c r="K5" s="724">
        <v>119516</v>
      </c>
      <c r="L5" s="732">
        <v>15000</v>
      </c>
    </row>
    <row r="6" spans="1:20" s="415" customFormat="1" ht="24.95" customHeight="1" thickTop="1" x14ac:dyDescent="0.3">
      <c r="A6" s="369" t="s">
        <v>7</v>
      </c>
      <c r="B6" s="421">
        <v>0</v>
      </c>
      <c r="C6" s="725">
        <v>0</v>
      </c>
      <c r="D6" s="733">
        <v>0</v>
      </c>
      <c r="E6" s="370">
        <v>0</v>
      </c>
      <c r="F6" s="725">
        <v>0</v>
      </c>
      <c r="G6" s="733">
        <v>0</v>
      </c>
      <c r="I6" s="369" t="s">
        <v>7</v>
      </c>
      <c r="J6" s="370">
        <v>0</v>
      </c>
      <c r="K6" s="725">
        <v>0</v>
      </c>
      <c r="L6" s="733">
        <v>0</v>
      </c>
    </row>
    <row r="7" spans="1:20" ht="24.95" customHeight="1" x14ac:dyDescent="0.3">
      <c r="A7" s="398" t="s">
        <v>8</v>
      </c>
      <c r="B7" s="422">
        <v>0</v>
      </c>
      <c r="C7" s="726"/>
      <c r="D7" s="734"/>
      <c r="E7" s="372">
        <v>0</v>
      </c>
      <c r="F7" s="726"/>
      <c r="G7" s="734"/>
      <c r="I7" s="398" t="s">
        <v>8</v>
      </c>
      <c r="J7" s="372">
        <v>0</v>
      </c>
      <c r="K7" s="726">
        <v>0</v>
      </c>
      <c r="L7" s="734">
        <v>0</v>
      </c>
    </row>
    <row r="8" spans="1:20" ht="24.95" customHeight="1" x14ac:dyDescent="0.3">
      <c r="A8" s="398" t="s">
        <v>306</v>
      </c>
      <c r="B8" s="422">
        <v>0</v>
      </c>
      <c r="C8" s="726"/>
      <c r="D8" s="734"/>
      <c r="E8" s="372">
        <v>0</v>
      </c>
      <c r="F8" s="726"/>
      <c r="G8" s="734"/>
      <c r="I8" s="398" t="s">
        <v>306</v>
      </c>
      <c r="J8" s="372">
        <v>0</v>
      </c>
      <c r="K8" s="726">
        <v>0</v>
      </c>
      <c r="L8" s="734">
        <v>0</v>
      </c>
    </row>
    <row r="9" spans="1:20" ht="24.95" customHeight="1" x14ac:dyDescent="0.3">
      <c r="A9" s="372"/>
      <c r="B9" s="422"/>
      <c r="C9" s="726"/>
      <c r="D9" s="734"/>
      <c r="E9" s="372"/>
      <c r="F9" s="726"/>
      <c r="G9" s="734"/>
      <c r="I9" s="372"/>
      <c r="J9" s="372"/>
      <c r="K9" s="726"/>
      <c r="L9" s="734"/>
    </row>
    <row r="10" spans="1:20" s="415" customFormat="1" ht="24.95" customHeight="1" x14ac:dyDescent="0.3">
      <c r="A10" s="526" t="s">
        <v>9</v>
      </c>
      <c r="B10" s="423">
        <v>134516</v>
      </c>
      <c r="C10" s="727">
        <v>119516</v>
      </c>
      <c r="D10" s="735">
        <v>15000</v>
      </c>
      <c r="E10" s="375">
        <v>0</v>
      </c>
      <c r="F10" s="727">
        <v>0</v>
      </c>
      <c r="G10" s="735">
        <v>0</v>
      </c>
      <c r="I10" s="526" t="s">
        <v>9</v>
      </c>
      <c r="J10" s="375">
        <v>134516</v>
      </c>
      <c r="K10" s="727">
        <v>119516</v>
      </c>
      <c r="L10" s="735">
        <v>15000</v>
      </c>
    </row>
    <row r="11" spans="1:20" ht="24.95" customHeight="1" x14ac:dyDescent="0.3">
      <c r="A11" s="372" t="s">
        <v>308</v>
      </c>
      <c r="B11" s="422">
        <v>0</v>
      </c>
      <c r="C11" s="726"/>
      <c r="D11" s="734"/>
      <c r="E11" s="372">
        <v>0</v>
      </c>
      <c r="F11" s="726"/>
      <c r="G11" s="734"/>
      <c r="I11" s="372" t="s">
        <v>308</v>
      </c>
      <c r="J11" s="372">
        <v>0</v>
      </c>
      <c r="K11" s="726">
        <v>0</v>
      </c>
      <c r="L11" s="734">
        <v>0</v>
      </c>
    </row>
    <row r="12" spans="1:20" ht="24.95" customHeight="1" x14ac:dyDescent="0.3">
      <c r="A12" s="372" t="s">
        <v>309</v>
      </c>
      <c r="B12" s="422">
        <v>0</v>
      </c>
      <c r="C12" s="726"/>
      <c r="D12" s="734"/>
      <c r="E12" s="372">
        <v>0</v>
      </c>
      <c r="F12" s="726"/>
      <c r="G12" s="734"/>
      <c r="I12" s="372" t="s">
        <v>309</v>
      </c>
      <c r="J12" s="372">
        <v>0</v>
      </c>
      <c r="K12" s="726">
        <v>0</v>
      </c>
      <c r="L12" s="734">
        <v>0</v>
      </c>
    </row>
    <row r="13" spans="1:20" ht="24.95" customHeight="1" x14ac:dyDescent="0.3">
      <c r="A13" s="372" t="s">
        <v>310</v>
      </c>
      <c r="B13" s="422">
        <v>0</v>
      </c>
      <c r="C13" s="726"/>
      <c r="D13" s="734"/>
      <c r="E13" s="372">
        <v>0</v>
      </c>
      <c r="F13" s="726"/>
      <c r="G13" s="734"/>
      <c r="I13" s="372" t="s">
        <v>310</v>
      </c>
      <c r="J13" s="372">
        <v>0</v>
      </c>
      <c r="K13" s="726">
        <v>0</v>
      </c>
      <c r="L13" s="734">
        <v>0</v>
      </c>
    </row>
    <row r="14" spans="1:20" ht="24.95" customHeight="1" x14ac:dyDescent="0.3">
      <c r="A14" s="372" t="s">
        <v>311</v>
      </c>
      <c r="B14" s="422">
        <v>0</v>
      </c>
      <c r="C14" s="726"/>
      <c r="D14" s="734"/>
      <c r="E14" s="372">
        <v>0</v>
      </c>
      <c r="F14" s="726"/>
      <c r="G14" s="734"/>
      <c r="I14" s="372" t="s">
        <v>311</v>
      </c>
      <c r="J14" s="372">
        <v>0</v>
      </c>
      <c r="K14" s="726">
        <v>0</v>
      </c>
      <c r="L14" s="734">
        <v>0</v>
      </c>
    </row>
    <row r="15" spans="1:20" ht="24.95" customHeight="1" x14ac:dyDescent="0.3">
      <c r="A15" s="372" t="s">
        <v>312</v>
      </c>
      <c r="B15" s="422">
        <v>134516</v>
      </c>
      <c r="C15" s="726">
        <v>119516</v>
      </c>
      <c r="D15" s="734">
        <v>15000</v>
      </c>
      <c r="E15" s="372">
        <v>0</v>
      </c>
      <c r="F15" s="726"/>
      <c r="G15" s="734"/>
      <c r="I15" s="372" t="s">
        <v>312</v>
      </c>
      <c r="J15" s="372">
        <v>134516</v>
      </c>
      <c r="K15" s="726">
        <v>119516</v>
      </c>
      <c r="L15" s="734">
        <v>15000</v>
      </c>
    </row>
    <row r="16" spans="1:20" ht="24.95" customHeight="1" x14ac:dyDescent="0.3">
      <c r="A16" s="372" t="s">
        <v>313</v>
      </c>
      <c r="B16" s="422">
        <v>0</v>
      </c>
      <c r="C16" s="726"/>
      <c r="D16" s="734"/>
      <c r="E16" s="372">
        <v>0</v>
      </c>
      <c r="F16" s="726"/>
      <c r="G16" s="734"/>
      <c r="I16" s="372" t="s">
        <v>313</v>
      </c>
      <c r="J16" s="372">
        <v>0</v>
      </c>
      <c r="K16" s="726">
        <v>0</v>
      </c>
      <c r="L16" s="734">
        <v>0</v>
      </c>
    </row>
    <row r="17" spans="1:12" ht="24.95" customHeight="1" x14ac:dyDescent="0.3">
      <c r="A17" s="372" t="s">
        <v>314</v>
      </c>
      <c r="B17" s="422">
        <v>0</v>
      </c>
      <c r="C17" s="726"/>
      <c r="D17" s="734"/>
      <c r="E17" s="372">
        <v>0</v>
      </c>
      <c r="F17" s="726"/>
      <c r="G17" s="734"/>
      <c r="I17" s="372" t="s">
        <v>314</v>
      </c>
      <c r="J17" s="372">
        <v>0</v>
      </c>
      <c r="K17" s="726">
        <v>0</v>
      </c>
      <c r="L17" s="734">
        <v>0</v>
      </c>
    </row>
    <row r="18" spans="1:12" ht="24.95" customHeight="1" x14ac:dyDescent="0.3">
      <c r="A18" s="372" t="s">
        <v>315</v>
      </c>
      <c r="B18" s="422">
        <v>0</v>
      </c>
      <c r="C18" s="726"/>
      <c r="D18" s="734"/>
      <c r="E18" s="372">
        <v>0</v>
      </c>
      <c r="F18" s="726"/>
      <c r="G18" s="734"/>
      <c r="I18" s="372" t="s">
        <v>315</v>
      </c>
      <c r="J18" s="372">
        <v>0</v>
      </c>
      <c r="K18" s="726">
        <v>0</v>
      </c>
      <c r="L18" s="734">
        <v>0</v>
      </c>
    </row>
    <row r="19" spans="1:12" ht="24.95" customHeight="1" x14ac:dyDescent="0.3">
      <c r="A19" s="372" t="s">
        <v>390</v>
      </c>
      <c r="B19" s="422">
        <v>0</v>
      </c>
      <c r="C19" s="726"/>
      <c r="D19" s="734"/>
      <c r="E19" s="372">
        <v>0</v>
      </c>
      <c r="F19" s="726"/>
      <c r="G19" s="734"/>
      <c r="I19" s="372" t="s">
        <v>390</v>
      </c>
      <c r="J19" s="372">
        <v>0</v>
      </c>
      <c r="K19" s="726">
        <v>0</v>
      </c>
      <c r="L19" s="734">
        <v>0</v>
      </c>
    </row>
    <row r="20" spans="1:12" s="415" customFormat="1" ht="24.95" customHeight="1" x14ac:dyDescent="0.3">
      <c r="A20" s="526" t="s">
        <v>12</v>
      </c>
      <c r="B20" s="423">
        <v>0</v>
      </c>
      <c r="C20" s="727">
        <v>0</v>
      </c>
      <c r="D20" s="735">
        <v>0</v>
      </c>
      <c r="E20" s="375">
        <v>0</v>
      </c>
      <c r="F20" s="727">
        <v>0</v>
      </c>
      <c r="G20" s="735">
        <v>0</v>
      </c>
      <c r="I20" s="526" t="s">
        <v>12</v>
      </c>
      <c r="J20" s="375">
        <v>0</v>
      </c>
      <c r="K20" s="727">
        <v>0</v>
      </c>
      <c r="L20" s="735">
        <v>0</v>
      </c>
    </row>
    <row r="21" spans="1:12" ht="24.95" customHeight="1" x14ac:dyDescent="0.3">
      <c r="A21" s="372" t="s">
        <v>391</v>
      </c>
      <c r="B21" s="422">
        <v>0</v>
      </c>
      <c r="C21" s="726"/>
      <c r="D21" s="734"/>
      <c r="E21" s="372">
        <v>0</v>
      </c>
      <c r="F21" s="726"/>
      <c r="G21" s="734"/>
      <c r="I21" s="372" t="s">
        <v>391</v>
      </c>
      <c r="J21" s="372">
        <v>0</v>
      </c>
      <c r="K21" s="726">
        <v>0</v>
      </c>
      <c r="L21" s="734">
        <v>0</v>
      </c>
    </row>
    <row r="22" spans="1:12" ht="24.95" customHeight="1" x14ac:dyDescent="0.3">
      <c r="A22" s="372" t="s">
        <v>392</v>
      </c>
      <c r="B22" s="422">
        <v>0</v>
      </c>
      <c r="C22" s="726"/>
      <c r="D22" s="734"/>
      <c r="E22" s="372">
        <v>0</v>
      </c>
      <c r="F22" s="726"/>
      <c r="G22" s="734"/>
      <c r="I22" s="372" t="s">
        <v>392</v>
      </c>
      <c r="J22" s="372">
        <v>0</v>
      </c>
      <c r="K22" s="726">
        <v>0</v>
      </c>
      <c r="L22" s="734">
        <v>0</v>
      </c>
    </row>
    <row r="23" spans="1:12" ht="24.95" customHeight="1" x14ac:dyDescent="0.3">
      <c r="A23" s="372" t="s">
        <v>393</v>
      </c>
      <c r="B23" s="422">
        <v>0</v>
      </c>
      <c r="C23" s="726"/>
      <c r="D23" s="734"/>
      <c r="E23" s="372">
        <v>0</v>
      </c>
      <c r="F23" s="726"/>
      <c r="G23" s="734"/>
      <c r="I23" s="372" t="s">
        <v>393</v>
      </c>
      <c r="J23" s="372">
        <v>0</v>
      </c>
      <c r="K23" s="726">
        <v>0</v>
      </c>
      <c r="L23" s="734">
        <v>0</v>
      </c>
    </row>
    <row r="24" spans="1:12" ht="24.95" customHeight="1" x14ac:dyDescent="0.3">
      <c r="A24" s="372" t="s">
        <v>394</v>
      </c>
      <c r="B24" s="422">
        <v>0</v>
      </c>
      <c r="C24" s="726"/>
      <c r="D24" s="734"/>
      <c r="E24" s="372">
        <v>0</v>
      </c>
      <c r="F24" s="726"/>
      <c r="G24" s="734"/>
      <c r="I24" s="372" t="s">
        <v>394</v>
      </c>
      <c r="J24" s="372">
        <v>0</v>
      </c>
      <c r="K24" s="726">
        <v>0</v>
      </c>
      <c r="L24" s="734">
        <v>0</v>
      </c>
    </row>
    <row r="25" spans="1:12" ht="24.95" customHeight="1" x14ac:dyDescent="0.3">
      <c r="A25" s="413"/>
      <c r="B25" s="424"/>
      <c r="C25" s="728"/>
      <c r="D25" s="736"/>
      <c r="E25" s="377"/>
      <c r="F25" s="728"/>
      <c r="G25" s="736"/>
      <c r="I25" s="377"/>
      <c r="J25" s="377"/>
      <c r="K25" s="728"/>
      <c r="L25" s="736"/>
    </row>
    <row r="26" spans="1:12" x14ac:dyDescent="0.3">
      <c r="K26" s="339"/>
      <c r="L26" s="339"/>
    </row>
    <row r="27" spans="1:12" x14ac:dyDescent="0.3">
      <c r="K27" s="339"/>
      <c r="L27" s="339"/>
    </row>
    <row r="28" spans="1:12" x14ac:dyDescent="0.3">
      <c r="K28" s="339"/>
      <c r="L28" s="339"/>
    </row>
    <row r="29" spans="1:12" x14ac:dyDescent="0.3">
      <c r="K29" s="339"/>
      <c r="L29" s="339"/>
    </row>
    <row r="30" spans="1:12" x14ac:dyDescent="0.3">
      <c r="K30" s="339"/>
      <c r="L30" s="339"/>
    </row>
    <row r="31" spans="1:12" x14ac:dyDescent="0.3">
      <c r="K31" s="339"/>
      <c r="L31" s="339"/>
    </row>
    <row r="32" spans="1:12" x14ac:dyDescent="0.3">
      <c r="K32" s="339"/>
      <c r="L32" s="339"/>
    </row>
    <row r="33" spans="1:12" x14ac:dyDescent="0.3">
      <c r="K33" s="339"/>
      <c r="L33" s="339"/>
    </row>
    <row r="34" spans="1:12" x14ac:dyDescent="0.3">
      <c r="K34" s="339"/>
      <c r="L34" s="339"/>
    </row>
    <row r="35" spans="1:12" x14ac:dyDescent="0.3">
      <c r="K35" s="339"/>
      <c r="L35" s="339"/>
    </row>
    <row r="36" spans="1:12" x14ac:dyDescent="0.3">
      <c r="K36" s="339"/>
      <c r="L36" s="339"/>
    </row>
    <row r="37" spans="1:12" x14ac:dyDescent="0.3">
      <c r="A37" s="3513" t="s">
        <v>0</v>
      </c>
      <c r="B37" s="3519" t="s">
        <v>1</v>
      </c>
      <c r="C37" s="3519"/>
      <c r="D37" s="3519"/>
      <c r="E37" s="3520" t="s">
        <v>3</v>
      </c>
      <c r="F37" s="3520"/>
      <c r="G37" s="3520"/>
      <c r="K37" s="339"/>
      <c r="L37" s="339"/>
    </row>
    <row r="38" spans="1:12" x14ac:dyDescent="0.3">
      <c r="A38" s="3514"/>
      <c r="B38" s="418" t="s">
        <v>28</v>
      </c>
      <c r="C38" s="723" t="s">
        <v>34</v>
      </c>
      <c r="D38" s="731" t="s">
        <v>62</v>
      </c>
      <c r="E38" s="380" t="s">
        <v>28</v>
      </c>
      <c r="F38" s="723" t="s">
        <v>34</v>
      </c>
      <c r="G38" s="731" t="s">
        <v>62</v>
      </c>
      <c r="K38" s="339"/>
      <c r="L38" s="339"/>
    </row>
    <row r="39" spans="1:12" ht="19.5" thickBot="1" x14ac:dyDescent="0.35">
      <c r="A39" s="419" t="s">
        <v>28</v>
      </c>
      <c r="B39" s="420">
        <v>0</v>
      </c>
      <c r="C39" s="724">
        <v>0</v>
      </c>
      <c r="D39" s="737">
        <v>0</v>
      </c>
      <c r="E39" s="367">
        <v>0</v>
      </c>
      <c r="F39" s="724">
        <v>0</v>
      </c>
      <c r="G39" s="732">
        <v>0</v>
      </c>
      <c r="K39" s="339"/>
      <c r="L39" s="339"/>
    </row>
    <row r="40" spans="1:12" ht="19.5" thickTop="1" x14ac:dyDescent="0.3">
      <c r="A40" s="369" t="s">
        <v>7</v>
      </c>
      <c r="B40" s="421">
        <v>0</v>
      </c>
      <c r="C40" s="725">
        <v>0</v>
      </c>
      <c r="D40" s="733">
        <v>0</v>
      </c>
      <c r="E40" s="370">
        <v>0</v>
      </c>
      <c r="F40" s="725">
        <v>0</v>
      </c>
      <c r="G40" s="733">
        <v>0</v>
      </c>
      <c r="K40" s="339"/>
      <c r="L40" s="339"/>
    </row>
    <row r="41" spans="1:12" x14ac:dyDescent="0.3">
      <c r="A41" s="398" t="s">
        <v>8</v>
      </c>
      <c r="B41" s="422">
        <v>0</v>
      </c>
      <c r="C41" s="726"/>
      <c r="D41" s="734"/>
      <c r="E41" s="372">
        <v>0</v>
      </c>
      <c r="F41" s="726"/>
      <c r="G41" s="734"/>
      <c r="K41" s="339"/>
      <c r="L41" s="339"/>
    </row>
    <row r="42" spans="1:12" x14ac:dyDescent="0.3">
      <c r="A42" s="398" t="s">
        <v>306</v>
      </c>
      <c r="B42" s="422">
        <v>0</v>
      </c>
      <c r="C42" s="726"/>
      <c r="D42" s="734"/>
      <c r="E42" s="372">
        <v>0</v>
      </c>
      <c r="F42" s="726"/>
      <c r="G42" s="734"/>
      <c r="K42" s="339"/>
      <c r="L42" s="339"/>
    </row>
    <row r="43" spans="1:12" x14ac:dyDescent="0.3">
      <c r="A43" s="372"/>
      <c r="B43" s="422"/>
      <c r="C43" s="726"/>
      <c r="D43" s="734"/>
      <c r="E43" s="372"/>
      <c r="F43" s="726"/>
      <c r="G43" s="734"/>
      <c r="K43" s="339"/>
      <c r="L43" s="339"/>
    </row>
    <row r="44" spans="1:12" x14ac:dyDescent="0.3">
      <c r="A44" s="526" t="s">
        <v>9</v>
      </c>
      <c r="B44" s="423">
        <v>0</v>
      </c>
      <c r="C44" s="727">
        <v>0</v>
      </c>
      <c r="D44" s="735">
        <v>0</v>
      </c>
      <c r="E44" s="375">
        <v>0</v>
      </c>
      <c r="F44" s="727">
        <v>0</v>
      </c>
      <c r="G44" s="735">
        <v>0</v>
      </c>
      <c r="K44" s="339"/>
      <c r="L44" s="339"/>
    </row>
    <row r="45" spans="1:12" x14ac:dyDescent="0.3">
      <c r="A45" s="372" t="s">
        <v>308</v>
      </c>
      <c r="B45" s="422">
        <v>0</v>
      </c>
      <c r="C45" s="726"/>
      <c r="D45" s="734"/>
      <c r="E45" s="372">
        <v>0</v>
      </c>
      <c r="F45" s="726"/>
      <c r="G45" s="734"/>
      <c r="K45" s="339"/>
      <c r="L45" s="339"/>
    </row>
    <row r="46" spans="1:12" x14ac:dyDescent="0.3">
      <c r="A46" s="372" t="s">
        <v>309</v>
      </c>
      <c r="B46" s="422">
        <v>0</v>
      </c>
      <c r="C46" s="726"/>
      <c r="D46" s="734"/>
      <c r="E46" s="372">
        <v>0</v>
      </c>
      <c r="F46" s="726"/>
      <c r="G46" s="734"/>
      <c r="K46" s="339"/>
      <c r="L46" s="339"/>
    </row>
    <row r="47" spans="1:12" x14ac:dyDescent="0.3">
      <c r="A47" s="372" t="s">
        <v>310</v>
      </c>
      <c r="B47" s="422">
        <v>0</v>
      </c>
      <c r="C47" s="726"/>
      <c r="D47" s="734"/>
      <c r="E47" s="372">
        <v>0</v>
      </c>
      <c r="F47" s="726"/>
      <c r="G47" s="734"/>
      <c r="K47" s="339"/>
      <c r="L47" s="339"/>
    </row>
    <row r="48" spans="1:12" x14ac:dyDescent="0.3">
      <c r="A48" s="372" t="s">
        <v>311</v>
      </c>
      <c r="B48" s="422">
        <v>0</v>
      </c>
      <c r="C48" s="726"/>
      <c r="D48" s="734"/>
      <c r="E48" s="372">
        <v>0</v>
      </c>
      <c r="F48" s="726"/>
      <c r="G48" s="734"/>
      <c r="K48" s="339"/>
      <c r="L48" s="339"/>
    </row>
    <row r="49" spans="1:12" x14ac:dyDescent="0.3">
      <c r="A49" s="372" t="s">
        <v>312</v>
      </c>
      <c r="B49" s="422">
        <v>0</v>
      </c>
      <c r="C49" s="726"/>
      <c r="D49" s="734"/>
      <c r="E49" s="372">
        <v>0</v>
      </c>
      <c r="F49" s="726"/>
      <c r="G49" s="734"/>
      <c r="K49" s="339"/>
      <c r="L49" s="339"/>
    </row>
    <row r="50" spans="1:12" x14ac:dyDescent="0.3">
      <c r="A50" s="372" t="s">
        <v>313</v>
      </c>
      <c r="B50" s="422">
        <v>0</v>
      </c>
      <c r="C50" s="726"/>
      <c r="D50" s="734"/>
      <c r="E50" s="372">
        <v>0</v>
      </c>
      <c r="F50" s="726"/>
      <c r="G50" s="734"/>
      <c r="K50" s="339"/>
      <c r="L50" s="339"/>
    </row>
    <row r="51" spans="1:12" x14ac:dyDescent="0.3">
      <c r="A51" s="372" t="s">
        <v>314</v>
      </c>
      <c r="B51" s="422">
        <v>0</v>
      </c>
      <c r="C51" s="726"/>
      <c r="D51" s="734"/>
      <c r="E51" s="372"/>
      <c r="F51" s="726"/>
      <c r="G51" s="734"/>
      <c r="K51" s="339"/>
      <c r="L51" s="339"/>
    </row>
    <row r="52" spans="1:12" x14ac:dyDescent="0.3">
      <c r="A52" s="372" t="s">
        <v>315</v>
      </c>
      <c r="B52" s="422">
        <v>0</v>
      </c>
      <c r="C52" s="726"/>
      <c r="D52" s="734"/>
      <c r="E52" s="372"/>
      <c r="F52" s="726"/>
      <c r="G52" s="734"/>
      <c r="K52" s="339"/>
      <c r="L52" s="339"/>
    </row>
    <row r="53" spans="1:12" x14ac:dyDescent="0.3">
      <c r="A53" s="372" t="s">
        <v>390</v>
      </c>
      <c r="B53" s="422"/>
      <c r="C53" s="726"/>
      <c r="D53" s="734"/>
      <c r="E53" s="372"/>
      <c r="F53" s="726"/>
      <c r="G53" s="734"/>
      <c r="K53" s="339"/>
      <c r="L53" s="339"/>
    </row>
    <row r="54" spans="1:12" x14ac:dyDescent="0.3">
      <c r="A54" s="526" t="s">
        <v>12</v>
      </c>
      <c r="B54" s="423">
        <v>0</v>
      </c>
      <c r="C54" s="727">
        <v>0</v>
      </c>
      <c r="D54" s="735">
        <v>0</v>
      </c>
      <c r="E54" s="375">
        <v>0</v>
      </c>
      <c r="F54" s="727">
        <v>0</v>
      </c>
      <c r="G54" s="735">
        <v>0</v>
      </c>
      <c r="K54" s="339"/>
      <c r="L54" s="339"/>
    </row>
    <row r="55" spans="1:12" x14ac:dyDescent="0.3">
      <c r="A55" s="372" t="s">
        <v>391</v>
      </c>
      <c r="B55" s="422">
        <v>0</v>
      </c>
      <c r="C55" s="726"/>
      <c r="D55" s="734"/>
      <c r="E55" s="372">
        <v>0</v>
      </c>
      <c r="F55" s="726"/>
      <c r="G55" s="734"/>
      <c r="K55" s="339"/>
      <c r="L55" s="339"/>
    </row>
    <row r="56" spans="1:12" x14ac:dyDescent="0.3">
      <c r="A56" s="372" t="s">
        <v>392</v>
      </c>
      <c r="B56" s="422">
        <v>0</v>
      </c>
      <c r="C56" s="726"/>
      <c r="D56" s="734"/>
      <c r="E56" s="372">
        <v>0</v>
      </c>
      <c r="F56" s="726"/>
      <c r="G56" s="734"/>
      <c r="K56" s="339"/>
      <c r="L56" s="339"/>
    </row>
    <row r="57" spans="1:12" x14ac:dyDescent="0.3">
      <c r="A57" s="372" t="s">
        <v>393</v>
      </c>
      <c r="B57" s="422">
        <v>0</v>
      </c>
      <c r="C57" s="726"/>
      <c r="D57" s="734"/>
      <c r="E57" s="372">
        <v>0</v>
      </c>
      <c r="F57" s="726"/>
      <c r="G57" s="734"/>
      <c r="K57" s="339"/>
      <c r="L57" s="339"/>
    </row>
    <row r="58" spans="1:12" x14ac:dyDescent="0.3">
      <c r="A58" s="372" t="s">
        <v>394</v>
      </c>
      <c r="B58" s="422">
        <v>0</v>
      </c>
      <c r="C58" s="726"/>
      <c r="D58" s="734"/>
      <c r="E58" s="372">
        <v>0</v>
      </c>
      <c r="F58" s="726"/>
      <c r="G58" s="734"/>
      <c r="K58" s="339"/>
      <c r="L58" s="339"/>
    </row>
    <row r="59" spans="1:12" x14ac:dyDescent="0.3">
      <c r="A59" s="413"/>
      <c r="B59" s="424"/>
      <c r="C59" s="728"/>
      <c r="D59" s="736"/>
      <c r="E59" s="377"/>
      <c r="F59" s="728"/>
      <c r="G59" s="736"/>
      <c r="K59" s="339"/>
      <c r="L59" s="339"/>
    </row>
    <row r="60" spans="1:12" x14ac:dyDescent="0.3">
      <c r="K60" s="339"/>
      <c r="L60" s="339"/>
    </row>
    <row r="61" spans="1:12" x14ac:dyDescent="0.3">
      <c r="K61" s="339"/>
      <c r="L61" s="339"/>
    </row>
    <row r="62" spans="1:12" x14ac:dyDescent="0.3">
      <c r="K62" s="339"/>
      <c r="L62" s="339"/>
    </row>
    <row r="63" spans="1:12" x14ac:dyDescent="0.3">
      <c r="K63" s="339"/>
      <c r="L63" s="339"/>
    </row>
    <row r="64" spans="1:12" x14ac:dyDescent="0.3">
      <c r="K64" s="339"/>
      <c r="L64" s="339"/>
    </row>
    <row r="65" spans="1:12" x14ac:dyDescent="0.3">
      <c r="K65" s="339"/>
      <c r="L65" s="339"/>
    </row>
    <row r="66" spans="1:12" x14ac:dyDescent="0.3">
      <c r="K66" s="339"/>
      <c r="L66" s="339"/>
    </row>
    <row r="67" spans="1:12" x14ac:dyDescent="0.3">
      <c r="K67" s="339"/>
      <c r="L67" s="339"/>
    </row>
    <row r="68" spans="1:12" x14ac:dyDescent="0.3">
      <c r="K68" s="339"/>
      <c r="L68" s="339"/>
    </row>
    <row r="69" spans="1:12" x14ac:dyDescent="0.3">
      <c r="K69" s="339"/>
      <c r="L69" s="339"/>
    </row>
    <row r="70" spans="1:12" x14ac:dyDescent="0.3">
      <c r="K70" s="339"/>
      <c r="L70" s="339"/>
    </row>
    <row r="71" spans="1:12" x14ac:dyDescent="0.3">
      <c r="K71" s="339"/>
      <c r="L71" s="339"/>
    </row>
    <row r="72" spans="1:12" x14ac:dyDescent="0.3">
      <c r="K72" s="339"/>
      <c r="L72" s="339"/>
    </row>
    <row r="73" spans="1:12" x14ac:dyDescent="0.3">
      <c r="K73" s="339"/>
      <c r="L73" s="339"/>
    </row>
    <row r="74" spans="1:12" x14ac:dyDescent="0.3">
      <c r="A74" s="3513" t="s">
        <v>0</v>
      </c>
      <c r="B74" s="3519" t="s">
        <v>24</v>
      </c>
      <c r="C74" s="3519"/>
      <c r="D74" s="3519"/>
      <c r="E74" s="3520" t="s">
        <v>23</v>
      </c>
      <c r="F74" s="3520"/>
      <c r="G74" s="3520"/>
      <c r="K74" s="339"/>
      <c r="L74" s="339"/>
    </row>
    <row r="75" spans="1:12" x14ac:dyDescent="0.3">
      <c r="A75" s="3514"/>
      <c r="B75" s="418" t="s">
        <v>28</v>
      </c>
      <c r="C75" s="723" t="s">
        <v>34</v>
      </c>
      <c r="D75" s="731" t="s">
        <v>62</v>
      </c>
      <c r="E75" s="380" t="s">
        <v>28</v>
      </c>
      <c r="F75" s="723" t="s">
        <v>34</v>
      </c>
      <c r="G75" s="731" t="s">
        <v>62</v>
      </c>
      <c r="K75" s="339"/>
      <c r="L75" s="339"/>
    </row>
    <row r="76" spans="1:12" ht="19.5" thickBot="1" x14ac:dyDescent="0.35">
      <c r="A76" s="419" t="s">
        <v>28</v>
      </c>
      <c r="B76" s="420">
        <v>0</v>
      </c>
      <c r="C76" s="724">
        <v>0</v>
      </c>
      <c r="D76" s="732">
        <v>0</v>
      </c>
      <c r="E76" s="367">
        <v>0</v>
      </c>
      <c r="F76" s="724">
        <v>0</v>
      </c>
      <c r="G76" s="732">
        <v>0</v>
      </c>
      <c r="K76" s="339"/>
      <c r="L76" s="339"/>
    </row>
    <row r="77" spans="1:12" ht="19.5" thickTop="1" x14ac:dyDescent="0.3">
      <c r="A77" s="369" t="s">
        <v>7</v>
      </c>
      <c r="B77" s="421">
        <v>0</v>
      </c>
      <c r="C77" s="725">
        <v>0</v>
      </c>
      <c r="D77" s="733">
        <v>0</v>
      </c>
      <c r="E77" s="370">
        <v>0</v>
      </c>
      <c r="F77" s="725">
        <v>0</v>
      </c>
      <c r="G77" s="733">
        <v>0</v>
      </c>
      <c r="K77" s="339"/>
      <c r="L77" s="339"/>
    </row>
    <row r="78" spans="1:12" s="596" customFormat="1" x14ac:dyDescent="0.3">
      <c r="A78" s="744" t="s">
        <v>8</v>
      </c>
      <c r="B78" s="422">
        <v>0</v>
      </c>
      <c r="C78" s="726">
        <v>0</v>
      </c>
      <c r="D78" s="734">
        <v>0</v>
      </c>
      <c r="E78" s="373">
        <v>0</v>
      </c>
      <c r="F78" s="743"/>
      <c r="G78" s="741"/>
      <c r="I78" s="339"/>
      <c r="J78" s="339"/>
      <c r="K78" s="339"/>
      <c r="L78" s="339"/>
    </row>
    <row r="79" spans="1:12" x14ac:dyDescent="0.3">
      <c r="A79" s="398" t="s">
        <v>306</v>
      </c>
      <c r="B79" s="422">
        <v>0</v>
      </c>
      <c r="C79" s="726">
        <v>0</v>
      </c>
      <c r="D79" s="734">
        <v>0</v>
      </c>
      <c r="E79" s="372">
        <v>0</v>
      </c>
      <c r="F79" s="743"/>
      <c r="G79" s="741"/>
      <c r="K79" s="339"/>
      <c r="L79" s="339"/>
    </row>
    <row r="80" spans="1:12" x14ac:dyDescent="0.3">
      <c r="A80" s="372"/>
      <c r="B80" s="422"/>
      <c r="C80" s="726"/>
      <c r="D80" s="734"/>
      <c r="E80" s="372"/>
      <c r="F80" s="726"/>
      <c r="G80" s="734"/>
      <c r="K80" s="339"/>
      <c r="L80" s="339"/>
    </row>
    <row r="81" spans="1:12" x14ac:dyDescent="0.3">
      <c r="A81" s="526" t="s">
        <v>9</v>
      </c>
      <c r="B81" s="423">
        <v>0</v>
      </c>
      <c r="C81" s="727">
        <v>0</v>
      </c>
      <c r="D81" s="735">
        <v>0</v>
      </c>
      <c r="E81" s="375">
        <v>0</v>
      </c>
      <c r="F81" s="727">
        <v>0</v>
      </c>
      <c r="G81" s="735">
        <v>0</v>
      </c>
      <c r="K81" s="339"/>
      <c r="L81" s="339"/>
    </row>
    <row r="82" spans="1:12" x14ac:dyDescent="0.3">
      <c r="A82" s="372" t="s">
        <v>308</v>
      </c>
      <c r="B82" s="422">
        <v>0</v>
      </c>
      <c r="C82" s="726">
        <v>0</v>
      </c>
      <c r="D82" s="734">
        <v>0</v>
      </c>
      <c r="E82" s="372">
        <v>0</v>
      </c>
      <c r="F82" s="743"/>
      <c r="G82" s="741"/>
      <c r="K82" s="339"/>
      <c r="L82" s="339"/>
    </row>
    <row r="83" spans="1:12" x14ac:dyDescent="0.3">
      <c r="A83" s="372" t="s">
        <v>309</v>
      </c>
      <c r="B83" s="422">
        <v>0</v>
      </c>
      <c r="C83" s="726">
        <v>0</v>
      </c>
      <c r="D83" s="734">
        <v>0</v>
      </c>
      <c r="E83" s="372">
        <v>0</v>
      </c>
      <c r="F83" s="743"/>
      <c r="G83" s="741"/>
      <c r="K83" s="339"/>
      <c r="L83" s="339"/>
    </row>
    <row r="84" spans="1:12" x14ac:dyDescent="0.3">
      <c r="A84" s="372" t="s">
        <v>310</v>
      </c>
      <c r="B84" s="422">
        <v>0</v>
      </c>
      <c r="C84" s="726">
        <v>0</v>
      </c>
      <c r="D84" s="734">
        <v>0</v>
      </c>
      <c r="E84" s="372">
        <v>0</v>
      </c>
      <c r="F84" s="743"/>
      <c r="G84" s="741"/>
      <c r="K84" s="339"/>
      <c r="L84" s="339"/>
    </row>
    <row r="85" spans="1:12" x14ac:dyDescent="0.3">
      <c r="A85" s="372" t="s">
        <v>311</v>
      </c>
      <c r="B85" s="422">
        <v>0</v>
      </c>
      <c r="C85" s="726">
        <v>0</v>
      </c>
      <c r="D85" s="734">
        <v>0</v>
      </c>
      <c r="E85" s="372">
        <v>0</v>
      </c>
      <c r="F85" s="743"/>
      <c r="G85" s="741"/>
      <c r="K85" s="339"/>
      <c r="L85" s="339"/>
    </row>
    <row r="86" spans="1:12" x14ac:dyDescent="0.3">
      <c r="A86" s="372" t="s">
        <v>312</v>
      </c>
      <c r="B86" s="422">
        <v>0</v>
      </c>
      <c r="C86" s="726">
        <v>0</v>
      </c>
      <c r="D86" s="734">
        <v>0</v>
      </c>
      <c r="E86" s="372">
        <v>0</v>
      </c>
      <c r="F86" s="743"/>
      <c r="G86" s="741"/>
      <c r="K86" s="339"/>
      <c r="L86" s="339"/>
    </row>
    <row r="87" spans="1:12" x14ac:dyDescent="0.3">
      <c r="A87" s="372" t="s">
        <v>313</v>
      </c>
      <c r="B87" s="422">
        <v>0</v>
      </c>
      <c r="C87" s="726">
        <v>0</v>
      </c>
      <c r="D87" s="734">
        <v>0</v>
      </c>
      <c r="E87" s="372">
        <v>0</v>
      </c>
      <c r="F87" s="743"/>
      <c r="G87" s="741"/>
      <c r="K87" s="339"/>
      <c r="L87" s="339"/>
    </row>
    <row r="88" spans="1:12" x14ac:dyDescent="0.3">
      <c r="A88" s="372" t="s">
        <v>314</v>
      </c>
      <c r="B88" s="422"/>
      <c r="C88" s="726">
        <v>0</v>
      </c>
      <c r="D88" s="734">
        <v>0</v>
      </c>
      <c r="E88" s="372"/>
      <c r="F88" s="743"/>
      <c r="G88" s="741"/>
      <c r="K88" s="339"/>
      <c r="L88" s="339"/>
    </row>
    <row r="89" spans="1:12" x14ac:dyDescent="0.3">
      <c r="A89" s="372" t="s">
        <v>315</v>
      </c>
      <c r="B89" s="422"/>
      <c r="C89" s="726">
        <v>0</v>
      </c>
      <c r="D89" s="734">
        <v>0</v>
      </c>
      <c r="E89" s="372"/>
      <c r="F89" s="743"/>
      <c r="G89" s="741"/>
      <c r="K89" s="339"/>
      <c r="L89" s="339"/>
    </row>
    <row r="90" spans="1:12" x14ac:dyDescent="0.3">
      <c r="A90" s="372" t="s">
        <v>390</v>
      </c>
      <c r="B90" s="422"/>
      <c r="C90" s="726">
        <v>0</v>
      </c>
      <c r="D90" s="734">
        <v>0</v>
      </c>
      <c r="E90" s="372"/>
      <c r="F90" s="726"/>
      <c r="G90" s="734"/>
      <c r="K90" s="339"/>
      <c r="L90" s="339"/>
    </row>
    <row r="91" spans="1:12" x14ac:dyDescent="0.3">
      <c r="A91" s="526" t="s">
        <v>12</v>
      </c>
      <c r="B91" s="423">
        <v>0</v>
      </c>
      <c r="C91" s="727">
        <v>0</v>
      </c>
      <c r="D91" s="735">
        <v>0</v>
      </c>
      <c r="E91" s="375">
        <v>0</v>
      </c>
      <c r="F91" s="727">
        <v>0</v>
      </c>
      <c r="G91" s="735">
        <v>0</v>
      </c>
      <c r="K91" s="339"/>
      <c r="L91" s="339"/>
    </row>
    <row r="92" spans="1:12" s="339" customFormat="1" x14ac:dyDescent="0.3">
      <c r="A92" s="372" t="s">
        <v>391</v>
      </c>
      <c r="B92" s="372">
        <v>0</v>
      </c>
      <c r="C92" s="726">
        <v>0</v>
      </c>
      <c r="D92" s="734">
        <v>0</v>
      </c>
      <c r="E92" s="372">
        <v>0</v>
      </c>
      <c r="F92" s="743"/>
      <c r="G92" s="741"/>
    </row>
    <row r="93" spans="1:12" s="339" customFormat="1" x14ac:dyDescent="0.3">
      <c r="A93" s="372" t="s">
        <v>392</v>
      </c>
      <c r="B93" s="372">
        <v>0</v>
      </c>
      <c r="C93" s="726">
        <v>0</v>
      </c>
      <c r="D93" s="734">
        <v>0</v>
      </c>
      <c r="E93" s="372">
        <v>0</v>
      </c>
      <c r="F93" s="743"/>
      <c r="G93" s="741"/>
    </row>
    <row r="94" spans="1:12" s="339" customFormat="1" x14ac:dyDescent="0.3">
      <c r="A94" s="372" t="s">
        <v>393</v>
      </c>
      <c r="B94" s="372">
        <v>0</v>
      </c>
      <c r="C94" s="726">
        <v>0</v>
      </c>
      <c r="D94" s="734">
        <v>0</v>
      </c>
      <c r="E94" s="372">
        <v>0</v>
      </c>
      <c r="F94" s="743"/>
      <c r="G94" s="741"/>
    </row>
    <row r="95" spans="1:12" s="339" customFormat="1" x14ac:dyDescent="0.3">
      <c r="A95" s="372" t="s">
        <v>394</v>
      </c>
      <c r="B95" s="372">
        <v>0</v>
      </c>
      <c r="C95" s="726">
        <v>0</v>
      </c>
      <c r="D95" s="734">
        <v>0</v>
      </c>
      <c r="E95" s="372">
        <v>0</v>
      </c>
      <c r="F95" s="743"/>
      <c r="G95" s="741"/>
    </row>
    <row r="96" spans="1:12" s="379" customFormat="1" x14ac:dyDescent="0.3">
      <c r="A96" s="373" t="s">
        <v>405</v>
      </c>
      <c r="B96" s="372">
        <v>0</v>
      </c>
      <c r="C96" s="726"/>
      <c r="D96" s="734"/>
      <c r="E96" s="373">
        <v>0</v>
      </c>
      <c r="F96" s="726"/>
      <c r="G96" s="741"/>
      <c r="I96" s="339"/>
      <c r="J96" s="339"/>
      <c r="K96" s="339"/>
      <c r="L96" s="339"/>
    </row>
    <row r="97" spans="1:12" s="379" customFormat="1" x14ac:dyDescent="0.3">
      <c r="A97" s="373" t="s">
        <v>406</v>
      </c>
      <c r="B97" s="373"/>
      <c r="C97" s="743"/>
      <c r="D97" s="741"/>
      <c r="E97" s="373">
        <v>0</v>
      </c>
      <c r="F97" s="743"/>
      <c r="G97" s="741"/>
      <c r="I97" s="339"/>
      <c r="J97" s="339"/>
      <c r="K97" s="339"/>
      <c r="L97" s="339"/>
    </row>
    <row r="98" spans="1:12" s="379" customFormat="1" x14ac:dyDescent="0.3">
      <c r="A98" s="373" t="s">
        <v>407</v>
      </c>
      <c r="B98" s="373"/>
      <c r="C98" s="743"/>
      <c r="D98" s="741"/>
      <c r="E98" s="373">
        <v>0</v>
      </c>
      <c r="F98" s="743"/>
      <c r="G98" s="741"/>
      <c r="I98" s="339"/>
      <c r="J98" s="339"/>
      <c r="K98" s="339"/>
      <c r="L98" s="339"/>
    </row>
    <row r="99" spans="1:12" s="379" customFormat="1" x14ac:dyDescent="0.3">
      <c r="A99" s="373" t="s">
        <v>408</v>
      </c>
      <c r="B99" s="373"/>
      <c r="C99" s="743"/>
      <c r="D99" s="741"/>
      <c r="E99" s="373">
        <v>0</v>
      </c>
      <c r="F99" s="743"/>
      <c r="G99" s="741"/>
      <c r="I99" s="339"/>
      <c r="J99" s="339"/>
      <c r="K99" s="339"/>
      <c r="L99" s="339"/>
    </row>
    <row r="100" spans="1:12" s="721" customFormat="1" x14ac:dyDescent="0.3">
      <c r="A100" s="378"/>
      <c r="B100" s="378"/>
      <c r="C100" s="746"/>
      <c r="D100" s="749"/>
      <c r="E100" s="378"/>
      <c r="F100" s="746"/>
      <c r="G100" s="749"/>
      <c r="I100" s="339"/>
      <c r="J100" s="339"/>
      <c r="K100" s="339"/>
      <c r="L100" s="339"/>
    </row>
    <row r="101" spans="1:12" s="339" customFormat="1" x14ac:dyDescent="0.3">
      <c r="C101" s="722"/>
      <c r="D101" s="730"/>
      <c r="F101" s="722"/>
      <c r="G101" s="730"/>
    </row>
    <row r="102" spans="1:12" s="339" customFormat="1" x14ac:dyDescent="0.3">
      <c r="C102" s="722"/>
      <c r="D102" s="730"/>
      <c r="F102" s="722"/>
      <c r="G102" s="730"/>
    </row>
    <row r="103" spans="1:12" x14ac:dyDescent="0.3">
      <c r="K103" s="339"/>
      <c r="L103" s="339"/>
    </row>
    <row r="104" spans="1:12" x14ac:dyDescent="0.3">
      <c r="K104" s="339"/>
      <c r="L104" s="339"/>
    </row>
    <row r="105" spans="1:12" x14ac:dyDescent="0.3">
      <c r="K105" s="339"/>
      <c r="L105" s="339"/>
    </row>
    <row r="106" spans="1:12" x14ac:dyDescent="0.3">
      <c r="K106" s="339"/>
      <c r="L106" s="339"/>
    </row>
    <row r="107" spans="1:12" x14ac:dyDescent="0.3">
      <c r="K107" s="339"/>
      <c r="L107" s="339"/>
    </row>
    <row r="108" spans="1:12" x14ac:dyDescent="0.3">
      <c r="K108" s="339"/>
      <c r="L108" s="339"/>
    </row>
    <row r="109" spans="1:12" x14ac:dyDescent="0.3">
      <c r="K109" s="339"/>
      <c r="L109" s="339"/>
    </row>
    <row r="110" spans="1:12" x14ac:dyDescent="0.3">
      <c r="K110" s="339"/>
      <c r="L110" s="339"/>
    </row>
    <row r="111" spans="1:12" x14ac:dyDescent="0.3">
      <c r="K111" s="339"/>
      <c r="L111" s="339"/>
    </row>
    <row r="112" spans="1:12" x14ac:dyDescent="0.3">
      <c r="K112" s="339"/>
      <c r="L112" s="339"/>
    </row>
    <row r="113" spans="1:12" x14ac:dyDescent="0.3">
      <c r="K113" s="339"/>
      <c r="L113" s="339"/>
    </row>
    <row r="114" spans="1:12" x14ac:dyDescent="0.3">
      <c r="K114" s="339"/>
      <c r="L114" s="339"/>
    </row>
    <row r="115" spans="1:12" x14ac:dyDescent="0.3">
      <c r="A115" s="3513" t="s">
        <v>0</v>
      </c>
      <c r="B115" s="3519" t="s">
        <v>4</v>
      </c>
      <c r="C115" s="3519"/>
      <c r="D115" s="3519"/>
      <c r="E115" s="3520" t="s">
        <v>20</v>
      </c>
      <c r="F115" s="3520"/>
      <c r="G115" s="3520"/>
      <c r="K115" s="339"/>
      <c r="L115" s="339"/>
    </row>
    <row r="116" spans="1:12" x14ac:dyDescent="0.3">
      <c r="A116" s="3514"/>
      <c r="B116" s="418" t="s">
        <v>28</v>
      </c>
      <c r="C116" s="723" t="s">
        <v>34</v>
      </c>
      <c r="D116" s="731" t="s">
        <v>62</v>
      </c>
      <c r="E116" s="380" t="s">
        <v>28</v>
      </c>
      <c r="F116" s="723" t="s">
        <v>34</v>
      </c>
      <c r="G116" s="731" t="s">
        <v>62</v>
      </c>
      <c r="K116" s="339"/>
      <c r="L116" s="339"/>
    </row>
    <row r="117" spans="1:12" ht="19.5" thickBot="1" x14ac:dyDescent="0.35">
      <c r="A117" s="419" t="s">
        <v>28</v>
      </c>
      <c r="B117" s="420">
        <v>0</v>
      </c>
      <c r="C117" s="724">
        <v>0</v>
      </c>
      <c r="D117" s="732">
        <v>0</v>
      </c>
      <c r="E117" s="367">
        <v>0</v>
      </c>
      <c r="F117" s="724">
        <v>0</v>
      </c>
      <c r="G117" s="732">
        <v>0</v>
      </c>
      <c r="K117" s="339"/>
      <c r="L117" s="339"/>
    </row>
    <row r="118" spans="1:12" ht="19.5" thickTop="1" x14ac:dyDescent="0.3">
      <c r="A118" s="369" t="s">
        <v>7</v>
      </c>
      <c r="B118" s="421">
        <v>0</v>
      </c>
      <c r="C118" s="725">
        <v>0</v>
      </c>
      <c r="D118" s="733">
        <v>0</v>
      </c>
      <c r="E118" s="370">
        <v>0</v>
      </c>
      <c r="F118" s="725">
        <v>0</v>
      </c>
      <c r="G118" s="733">
        <v>0</v>
      </c>
      <c r="K118" s="339"/>
      <c r="L118" s="339"/>
    </row>
    <row r="119" spans="1:12" x14ac:dyDescent="0.3">
      <c r="A119" s="398" t="s">
        <v>8</v>
      </c>
      <c r="B119" s="422">
        <v>0</v>
      </c>
      <c r="C119" s="726"/>
      <c r="D119" s="734"/>
      <c r="E119" s="372">
        <v>0</v>
      </c>
      <c r="F119" s="726"/>
      <c r="G119" s="734"/>
      <c r="K119" s="339"/>
      <c r="L119" s="339"/>
    </row>
    <row r="120" spans="1:12" x14ac:dyDescent="0.3">
      <c r="A120" s="398" t="s">
        <v>306</v>
      </c>
      <c r="B120" s="422">
        <v>0</v>
      </c>
      <c r="C120" s="726"/>
      <c r="D120" s="734"/>
      <c r="E120" s="372">
        <v>0</v>
      </c>
      <c r="F120" s="726"/>
      <c r="G120" s="734"/>
      <c r="K120" s="339"/>
      <c r="L120" s="339"/>
    </row>
    <row r="121" spans="1:12" x14ac:dyDescent="0.3">
      <c r="A121" s="372"/>
      <c r="B121" s="422"/>
      <c r="C121" s="726"/>
      <c r="D121" s="734"/>
      <c r="E121" s="372"/>
      <c r="F121" s="726"/>
      <c r="G121" s="734"/>
      <c r="K121" s="339"/>
      <c r="L121" s="339"/>
    </row>
    <row r="122" spans="1:12" x14ac:dyDescent="0.3">
      <c r="A122" s="526" t="s">
        <v>9</v>
      </c>
      <c r="B122" s="422">
        <v>0</v>
      </c>
      <c r="C122" s="728">
        <v>0</v>
      </c>
      <c r="D122" s="736">
        <v>0</v>
      </c>
      <c r="E122" s="372">
        <v>0</v>
      </c>
      <c r="F122" s="728">
        <v>0</v>
      </c>
      <c r="G122" s="736">
        <v>0</v>
      </c>
      <c r="K122" s="339"/>
      <c r="L122" s="339"/>
    </row>
    <row r="123" spans="1:12" x14ac:dyDescent="0.3">
      <c r="A123" s="372" t="s">
        <v>308</v>
      </c>
      <c r="B123" s="933">
        <v>0</v>
      </c>
      <c r="C123" s="726"/>
      <c r="D123" s="734"/>
      <c r="E123" s="934">
        <v>0</v>
      </c>
      <c r="F123" s="726"/>
      <c r="G123" s="734"/>
      <c r="K123" s="339"/>
      <c r="L123" s="339"/>
    </row>
    <row r="124" spans="1:12" x14ac:dyDescent="0.3">
      <c r="A124" s="372" t="s">
        <v>309</v>
      </c>
      <c r="B124" s="422">
        <v>0</v>
      </c>
      <c r="C124" s="726"/>
      <c r="D124" s="734"/>
      <c r="E124" s="372">
        <v>0</v>
      </c>
      <c r="F124" s="726"/>
      <c r="G124" s="734"/>
      <c r="K124" s="339"/>
      <c r="L124" s="339"/>
    </row>
    <row r="125" spans="1:12" x14ac:dyDescent="0.3">
      <c r="A125" s="372" t="s">
        <v>310</v>
      </c>
      <c r="B125" s="422">
        <v>0</v>
      </c>
      <c r="C125" s="726"/>
      <c r="D125" s="734"/>
      <c r="E125" s="372">
        <v>0</v>
      </c>
      <c r="F125" s="726"/>
      <c r="G125" s="734"/>
      <c r="K125" s="339"/>
      <c r="L125" s="339"/>
    </row>
    <row r="126" spans="1:12" x14ac:dyDescent="0.3">
      <c r="A126" s="372" t="s">
        <v>311</v>
      </c>
      <c r="B126" s="422">
        <v>0</v>
      </c>
      <c r="C126" s="726"/>
      <c r="D126" s="734"/>
      <c r="E126" s="372">
        <v>0</v>
      </c>
      <c r="F126" s="726"/>
      <c r="G126" s="734"/>
      <c r="K126" s="339"/>
      <c r="L126" s="339"/>
    </row>
    <row r="127" spans="1:12" x14ac:dyDescent="0.3">
      <c r="A127" s="372" t="s">
        <v>312</v>
      </c>
      <c r="B127" s="422">
        <v>0</v>
      </c>
      <c r="C127" s="726"/>
      <c r="D127" s="734"/>
      <c r="E127" s="372">
        <v>0</v>
      </c>
      <c r="F127" s="726"/>
      <c r="G127" s="734"/>
      <c r="K127" s="339"/>
      <c r="L127" s="339"/>
    </row>
    <row r="128" spans="1:12" x14ac:dyDescent="0.3">
      <c r="A128" s="372" t="s">
        <v>313</v>
      </c>
      <c r="B128" s="422">
        <v>0</v>
      </c>
      <c r="C128" s="726"/>
      <c r="D128" s="734"/>
      <c r="E128" s="372">
        <v>0</v>
      </c>
      <c r="F128" s="726"/>
      <c r="G128" s="734"/>
      <c r="K128" s="339"/>
      <c r="L128" s="339"/>
    </row>
    <row r="129" spans="1:12" x14ac:dyDescent="0.3">
      <c r="A129" s="372" t="s">
        <v>314</v>
      </c>
      <c r="B129" s="422">
        <v>0</v>
      </c>
      <c r="C129" s="726"/>
      <c r="D129" s="734"/>
      <c r="E129" s="372">
        <v>0</v>
      </c>
      <c r="F129" s="726"/>
      <c r="G129" s="734"/>
      <c r="K129" s="339"/>
      <c r="L129" s="339"/>
    </row>
    <row r="130" spans="1:12" x14ac:dyDescent="0.3">
      <c r="A130" s="372" t="s">
        <v>315</v>
      </c>
      <c r="B130" s="422"/>
      <c r="C130" s="726"/>
      <c r="D130" s="734"/>
      <c r="E130" s="372"/>
      <c r="F130" s="726"/>
      <c r="G130" s="734"/>
      <c r="K130" s="339"/>
      <c r="L130" s="339"/>
    </row>
    <row r="131" spans="1:12" x14ac:dyDescent="0.3">
      <c r="A131" s="372" t="s">
        <v>390</v>
      </c>
      <c r="B131" s="935"/>
      <c r="C131" s="936"/>
      <c r="D131" s="937"/>
      <c r="E131" s="526"/>
      <c r="F131" s="936"/>
      <c r="G131" s="937"/>
      <c r="K131" s="339"/>
      <c r="L131" s="339"/>
    </row>
    <row r="132" spans="1:12" x14ac:dyDescent="0.3">
      <c r="A132" s="526" t="s">
        <v>12</v>
      </c>
      <c r="B132" s="424">
        <v>0</v>
      </c>
      <c r="C132" s="728">
        <v>0</v>
      </c>
      <c r="D132" s="736">
        <v>0</v>
      </c>
      <c r="E132" s="377">
        <v>0</v>
      </c>
      <c r="F132" s="728">
        <v>0</v>
      </c>
      <c r="G132" s="736">
        <v>0</v>
      </c>
      <c r="K132" s="339"/>
      <c r="L132" s="339"/>
    </row>
    <row r="133" spans="1:12" x14ac:dyDescent="0.3">
      <c r="A133" s="372" t="s">
        <v>391</v>
      </c>
      <c r="B133" s="422">
        <v>0</v>
      </c>
      <c r="C133" s="726"/>
      <c r="D133" s="734"/>
      <c r="E133" s="372">
        <v>0</v>
      </c>
      <c r="F133" s="726"/>
      <c r="G133" s="734"/>
      <c r="K133" s="339"/>
      <c r="L133" s="339"/>
    </row>
    <row r="134" spans="1:12" x14ac:dyDescent="0.3">
      <c r="A134" s="372" t="s">
        <v>392</v>
      </c>
      <c r="B134" s="422">
        <v>0</v>
      </c>
      <c r="C134" s="726"/>
      <c r="D134" s="734"/>
      <c r="E134" s="372">
        <v>0</v>
      </c>
      <c r="F134" s="726"/>
      <c r="G134" s="734"/>
      <c r="K134" s="339"/>
      <c r="L134" s="339"/>
    </row>
    <row r="135" spans="1:12" x14ac:dyDescent="0.3">
      <c r="A135" s="372" t="s">
        <v>393</v>
      </c>
      <c r="B135" s="422">
        <v>0</v>
      </c>
      <c r="C135" s="726"/>
      <c r="D135" s="734"/>
      <c r="E135" s="372">
        <v>0</v>
      </c>
      <c r="F135" s="726"/>
      <c r="G135" s="734"/>
      <c r="K135" s="339"/>
      <c r="L135" s="339"/>
    </row>
    <row r="136" spans="1:12" x14ac:dyDescent="0.3">
      <c r="A136" s="372" t="s">
        <v>394</v>
      </c>
      <c r="B136" s="422">
        <v>0</v>
      </c>
      <c r="C136" s="726"/>
      <c r="D136" s="734"/>
      <c r="E136" s="372">
        <v>0</v>
      </c>
      <c r="F136" s="726"/>
      <c r="G136" s="734"/>
      <c r="K136" s="339"/>
      <c r="L136" s="339"/>
    </row>
    <row r="137" spans="1:12" x14ac:dyDescent="0.3">
      <c r="A137" s="413"/>
      <c r="B137" s="424"/>
      <c r="C137" s="728"/>
      <c r="D137" s="736"/>
      <c r="E137" s="377"/>
      <c r="F137" s="728"/>
      <c r="G137" s="736"/>
      <c r="K137" s="339"/>
      <c r="L137" s="339"/>
    </row>
    <row r="138" spans="1:12" x14ac:dyDescent="0.3">
      <c r="K138" s="339"/>
      <c r="L138" s="339"/>
    </row>
    <row r="139" spans="1:12" x14ac:dyDescent="0.3">
      <c r="K139" s="339"/>
      <c r="L139" s="339"/>
    </row>
    <row r="140" spans="1:12" x14ac:dyDescent="0.3">
      <c r="K140" s="339"/>
      <c r="L140" s="339"/>
    </row>
    <row r="141" spans="1:12" x14ac:dyDescent="0.3">
      <c r="K141" s="339"/>
      <c r="L141" s="339"/>
    </row>
    <row r="142" spans="1:12" x14ac:dyDescent="0.3">
      <c r="K142" s="339"/>
      <c r="L142" s="339"/>
    </row>
    <row r="143" spans="1:12" x14ac:dyDescent="0.3">
      <c r="K143" s="339"/>
      <c r="L143" s="339"/>
    </row>
    <row r="144" spans="1:12" x14ac:dyDescent="0.3">
      <c r="K144" s="339"/>
      <c r="L144" s="339"/>
    </row>
    <row r="145" spans="1:12" x14ac:dyDescent="0.3">
      <c r="K145" s="339"/>
      <c r="L145" s="339"/>
    </row>
    <row r="146" spans="1:12" x14ac:dyDescent="0.3">
      <c r="K146" s="339"/>
      <c r="L146" s="339"/>
    </row>
    <row r="147" spans="1:12" x14ac:dyDescent="0.3">
      <c r="K147" s="339"/>
      <c r="L147" s="339"/>
    </row>
    <row r="148" spans="1:12" x14ac:dyDescent="0.3">
      <c r="K148" s="339"/>
      <c r="L148" s="339"/>
    </row>
    <row r="149" spans="1:12" x14ac:dyDescent="0.3">
      <c r="K149" s="339"/>
      <c r="L149" s="339"/>
    </row>
    <row r="150" spans="1:12" x14ac:dyDescent="0.3">
      <c r="K150" s="339"/>
      <c r="L150" s="339"/>
    </row>
    <row r="151" spans="1:12" x14ac:dyDescent="0.3">
      <c r="K151" s="339"/>
      <c r="L151" s="339"/>
    </row>
    <row r="152" spans="1:12" x14ac:dyDescent="0.3">
      <c r="A152" s="3513" t="s">
        <v>0</v>
      </c>
      <c r="B152" s="3519" t="s">
        <v>5</v>
      </c>
      <c r="C152" s="3519"/>
      <c r="D152" s="3519"/>
      <c r="E152" s="3520" t="s">
        <v>21</v>
      </c>
      <c r="F152" s="3520"/>
      <c r="G152" s="3520"/>
      <c r="K152" s="339"/>
      <c r="L152" s="339"/>
    </row>
    <row r="153" spans="1:12" x14ac:dyDescent="0.3">
      <c r="A153" s="3514"/>
      <c r="B153" s="418" t="s">
        <v>28</v>
      </c>
      <c r="C153" s="723" t="s">
        <v>34</v>
      </c>
      <c r="D153" s="731" t="s">
        <v>62</v>
      </c>
      <c r="E153" s="380" t="s">
        <v>28</v>
      </c>
      <c r="F153" s="723" t="s">
        <v>34</v>
      </c>
      <c r="G153" s="731" t="s">
        <v>62</v>
      </c>
      <c r="K153" s="339"/>
      <c r="L153" s="339"/>
    </row>
    <row r="154" spans="1:12" ht="19.5" thickBot="1" x14ac:dyDescent="0.35">
      <c r="A154" s="419" t="s">
        <v>28</v>
      </c>
      <c r="B154" s="420">
        <v>0</v>
      </c>
      <c r="C154" s="724">
        <v>0</v>
      </c>
      <c r="D154" s="732">
        <v>0</v>
      </c>
      <c r="E154" s="368">
        <v>0</v>
      </c>
      <c r="F154" s="747">
        <v>0</v>
      </c>
      <c r="G154" s="732">
        <v>0</v>
      </c>
      <c r="K154" s="339"/>
      <c r="L154" s="339"/>
    </row>
    <row r="155" spans="1:12" ht="19.5" thickTop="1" x14ac:dyDescent="0.3">
      <c r="A155" s="369" t="s">
        <v>7</v>
      </c>
      <c r="B155" s="421">
        <v>0</v>
      </c>
      <c r="C155" s="725">
        <v>0</v>
      </c>
      <c r="D155" s="733">
        <v>0</v>
      </c>
      <c r="E155" s="370">
        <v>0</v>
      </c>
      <c r="F155" s="725">
        <v>0</v>
      </c>
      <c r="G155" s="733">
        <v>0</v>
      </c>
      <c r="K155" s="339"/>
      <c r="L155" s="339"/>
    </row>
    <row r="156" spans="1:12" x14ac:dyDescent="0.3">
      <c r="A156" s="398" t="s">
        <v>8</v>
      </c>
      <c r="B156" s="422">
        <v>0</v>
      </c>
      <c r="C156" s="726"/>
      <c r="D156" s="734"/>
      <c r="E156" s="372">
        <v>0</v>
      </c>
      <c r="F156" s="726"/>
      <c r="G156" s="734"/>
      <c r="K156" s="339"/>
      <c r="L156" s="339"/>
    </row>
    <row r="157" spans="1:12" x14ac:dyDescent="0.3">
      <c r="A157" s="398" t="s">
        <v>306</v>
      </c>
      <c r="B157" s="422">
        <v>0</v>
      </c>
      <c r="C157" s="726"/>
      <c r="D157" s="734"/>
      <c r="E157" s="372">
        <v>0</v>
      </c>
      <c r="F157" s="726"/>
      <c r="G157" s="734"/>
      <c r="K157" s="339"/>
      <c r="L157" s="339"/>
    </row>
    <row r="158" spans="1:12" x14ac:dyDescent="0.3">
      <c r="A158" s="372"/>
      <c r="B158" s="422"/>
      <c r="C158" s="726"/>
      <c r="D158" s="734"/>
      <c r="E158" s="372"/>
      <c r="F158" s="726"/>
      <c r="G158" s="734"/>
      <c r="K158" s="339"/>
      <c r="L158" s="339"/>
    </row>
    <row r="159" spans="1:12" x14ac:dyDescent="0.3">
      <c r="A159" s="526" t="s">
        <v>9</v>
      </c>
      <c r="B159" s="425">
        <v>0</v>
      </c>
      <c r="C159" s="727">
        <v>0</v>
      </c>
      <c r="D159" s="738">
        <v>0</v>
      </c>
      <c r="E159" s="375">
        <v>0</v>
      </c>
      <c r="F159" s="727">
        <v>0</v>
      </c>
      <c r="G159" s="735">
        <v>0</v>
      </c>
      <c r="K159" s="339"/>
      <c r="L159" s="339"/>
    </row>
    <row r="160" spans="1:12" x14ac:dyDescent="0.3">
      <c r="A160" s="372" t="s">
        <v>308</v>
      </c>
      <c r="B160" s="426">
        <v>0</v>
      </c>
      <c r="C160" s="726"/>
      <c r="D160" s="739"/>
      <c r="E160" s="372">
        <v>0</v>
      </c>
      <c r="F160" s="726"/>
      <c r="G160" s="734"/>
      <c r="K160" s="339"/>
      <c r="L160" s="339"/>
    </row>
    <row r="161" spans="1:12" x14ac:dyDescent="0.3">
      <c r="A161" s="372" t="s">
        <v>309</v>
      </c>
      <c r="B161" s="422">
        <v>0</v>
      </c>
      <c r="C161" s="726"/>
      <c r="D161" s="734"/>
      <c r="E161" s="372">
        <v>0</v>
      </c>
      <c r="F161" s="726"/>
      <c r="G161" s="734"/>
      <c r="K161" s="339"/>
      <c r="L161" s="339"/>
    </row>
    <row r="162" spans="1:12" x14ac:dyDescent="0.3">
      <c r="A162" s="372" t="s">
        <v>310</v>
      </c>
      <c r="B162" s="422">
        <v>0</v>
      </c>
      <c r="C162" s="726"/>
      <c r="D162" s="734"/>
      <c r="E162" s="372">
        <v>0</v>
      </c>
      <c r="F162" s="726"/>
      <c r="G162" s="734"/>
      <c r="K162" s="339"/>
      <c r="L162" s="339"/>
    </row>
    <row r="163" spans="1:12" x14ac:dyDescent="0.3">
      <c r="A163" s="372" t="s">
        <v>311</v>
      </c>
      <c r="B163" s="422">
        <v>0</v>
      </c>
      <c r="C163" s="726"/>
      <c r="D163" s="734"/>
      <c r="E163" s="372">
        <v>0</v>
      </c>
      <c r="F163" s="726"/>
      <c r="G163" s="734"/>
      <c r="K163" s="339"/>
      <c r="L163" s="339"/>
    </row>
    <row r="164" spans="1:12" x14ac:dyDescent="0.3">
      <c r="A164" s="372" t="s">
        <v>312</v>
      </c>
      <c r="B164" s="422">
        <v>0</v>
      </c>
      <c r="C164" s="726"/>
      <c r="D164" s="734"/>
      <c r="E164" s="372">
        <v>0</v>
      </c>
      <c r="F164" s="726"/>
      <c r="G164" s="734"/>
      <c r="K164" s="339"/>
      <c r="L164" s="339"/>
    </row>
    <row r="165" spans="1:12" x14ac:dyDescent="0.3">
      <c r="A165" s="372" t="s">
        <v>313</v>
      </c>
      <c r="B165" s="422">
        <v>0</v>
      </c>
      <c r="C165" s="726"/>
      <c r="D165" s="734"/>
      <c r="E165" s="372">
        <v>0</v>
      </c>
      <c r="F165" s="726"/>
      <c r="G165" s="734"/>
      <c r="K165" s="339"/>
      <c r="L165" s="339"/>
    </row>
    <row r="166" spans="1:12" x14ac:dyDescent="0.3">
      <c r="A166" s="372" t="s">
        <v>314</v>
      </c>
      <c r="B166" s="422">
        <v>0</v>
      </c>
      <c r="C166" s="726"/>
      <c r="D166" s="734"/>
      <c r="E166" s="372"/>
      <c r="F166" s="726"/>
      <c r="G166" s="734"/>
      <c r="K166" s="339"/>
      <c r="L166" s="339"/>
    </row>
    <row r="167" spans="1:12" x14ac:dyDescent="0.3">
      <c r="A167" s="372" t="s">
        <v>315</v>
      </c>
      <c r="B167" s="422">
        <v>0</v>
      </c>
      <c r="C167" s="726"/>
      <c r="D167" s="734"/>
      <c r="E167" s="372"/>
      <c r="F167" s="726"/>
      <c r="G167" s="734"/>
      <c r="K167" s="339"/>
      <c r="L167" s="339"/>
    </row>
    <row r="168" spans="1:12" x14ac:dyDescent="0.3">
      <c r="A168" s="372" t="s">
        <v>390</v>
      </c>
      <c r="B168" s="422"/>
      <c r="C168" s="726"/>
      <c r="D168" s="734"/>
      <c r="E168" s="372"/>
      <c r="F168" s="726"/>
      <c r="G168" s="734"/>
      <c r="K168" s="339"/>
      <c r="L168" s="339"/>
    </row>
    <row r="169" spans="1:12" x14ac:dyDescent="0.3">
      <c r="A169" s="526" t="s">
        <v>12</v>
      </c>
      <c r="B169" s="423">
        <v>0</v>
      </c>
      <c r="C169" s="727">
        <v>0</v>
      </c>
      <c r="D169" s="735">
        <v>0</v>
      </c>
      <c r="E169" s="376">
        <v>0</v>
      </c>
      <c r="F169" s="727">
        <v>0</v>
      </c>
      <c r="G169" s="735">
        <v>0</v>
      </c>
      <c r="K169" s="339"/>
      <c r="L169" s="339"/>
    </row>
    <row r="170" spans="1:12" x14ac:dyDescent="0.3">
      <c r="A170" s="372" t="s">
        <v>391</v>
      </c>
      <c r="B170" s="422">
        <v>0</v>
      </c>
      <c r="C170" s="726"/>
      <c r="D170" s="734"/>
      <c r="E170" s="372">
        <v>0</v>
      </c>
      <c r="F170" s="726"/>
      <c r="G170" s="734"/>
      <c r="K170" s="339"/>
      <c r="L170" s="339"/>
    </row>
    <row r="171" spans="1:12" x14ac:dyDescent="0.3">
      <c r="A171" s="372" t="s">
        <v>392</v>
      </c>
      <c r="B171" s="422">
        <v>0</v>
      </c>
      <c r="C171" s="726"/>
      <c r="D171" s="734"/>
      <c r="E171" s="372">
        <v>0</v>
      </c>
      <c r="F171" s="726"/>
      <c r="G171" s="734"/>
      <c r="K171" s="339"/>
      <c r="L171" s="339"/>
    </row>
    <row r="172" spans="1:12" x14ac:dyDescent="0.3">
      <c r="A172" s="372" t="s">
        <v>393</v>
      </c>
      <c r="B172" s="422">
        <v>0</v>
      </c>
      <c r="C172" s="726"/>
      <c r="D172" s="734"/>
      <c r="E172" s="372">
        <v>0</v>
      </c>
      <c r="F172" s="726"/>
      <c r="G172" s="734"/>
      <c r="K172" s="339"/>
      <c r="L172" s="339"/>
    </row>
    <row r="173" spans="1:12" x14ac:dyDescent="0.3">
      <c r="A173" s="372" t="s">
        <v>394</v>
      </c>
      <c r="B173" s="422">
        <v>0</v>
      </c>
      <c r="C173" s="726"/>
      <c r="D173" s="734"/>
      <c r="E173" s="374">
        <v>0</v>
      </c>
      <c r="F173" s="726"/>
      <c r="G173" s="734"/>
      <c r="K173" s="339"/>
      <c r="L173" s="339"/>
    </row>
    <row r="174" spans="1:12" x14ac:dyDescent="0.3">
      <c r="A174" s="413"/>
      <c r="B174" s="424"/>
      <c r="C174" s="728"/>
      <c r="D174" s="736"/>
      <c r="E174" s="377"/>
      <c r="F174" s="728"/>
      <c r="G174" s="736"/>
      <c r="K174" s="339"/>
      <c r="L174" s="339"/>
    </row>
    <row r="175" spans="1:12" x14ac:dyDescent="0.3">
      <c r="K175" s="339"/>
      <c r="L175" s="339"/>
    </row>
    <row r="176" spans="1:12" x14ac:dyDescent="0.3">
      <c r="K176" s="339"/>
      <c r="L176" s="339"/>
    </row>
    <row r="177" spans="11:12" x14ac:dyDescent="0.3">
      <c r="K177" s="339"/>
      <c r="L177" s="339"/>
    </row>
    <row r="178" spans="11:12" x14ac:dyDescent="0.3">
      <c r="K178" s="339"/>
      <c r="L178" s="339"/>
    </row>
    <row r="179" spans="11:12" x14ac:dyDescent="0.3">
      <c r="K179" s="339"/>
      <c r="L179" s="339"/>
    </row>
    <row r="180" spans="11:12" x14ac:dyDescent="0.3">
      <c r="K180" s="339"/>
      <c r="L180" s="339"/>
    </row>
    <row r="181" spans="11:12" x14ac:dyDescent="0.3">
      <c r="K181" s="339"/>
      <c r="L181" s="339"/>
    </row>
    <row r="182" spans="11:12" x14ac:dyDescent="0.3">
      <c r="K182" s="339"/>
      <c r="L182" s="339"/>
    </row>
    <row r="183" spans="11:12" x14ac:dyDescent="0.3">
      <c r="K183" s="339"/>
      <c r="L183" s="339"/>
    </row>
    <row r="184" spans="11:12" x14ac:dyDescent="0.3">
      <c r="K184" s="339"/>
      <c r="L184" s="339"/>
    </row>
    <row r="185" spans="11:12" x14ac:dyDescent="0.3">
      <c r="K185" s="339"/>
      <c r="L185" s="339"/>
    </row>
    <row r="186" spans="11:12" x14ac:dyDescent="0.3">
      <c r="K186" s="339"/>
      <c r="L186" s="339"/>
    </row>
    <row r="187" spans="11:12" x14ac:dyDescent="0.3">
      <c r="K187" s="339"/>
      <c r="L187" s="339"/>
    </row>
    <row r="188" spans="11:12" x14ac:dyDescent="0.3">
      <c r="K188" s="339"/>
      <c r="L188" s="339"/>
    </row>
    <row r="189" spans="11:12" x14ac:dyDescent="0.3">
      <c r="K189" s="339"/>
      <c r="L189" s="339"/>
    </row>
    <row r="190" spans="11:12" x14ac:dyDescent="0.3">
      <c r="K190" s="339"/>
      <c r="L190" s="339"/>
    </row>
    <row r="191" spans="11:12" x14ac:dyDescent="0.3">
      <c r="K191" s="339"/>
      <c r="L191" s="339"/>
    </row>
    <row r="192" spans="11:12" x14ac:dyDescent="0.3">
      <c r="K192" s="339"/>
      <c r="L192" s="339"/>
    </row>
    <row r="193" spans="11:12" x14ac:dyDescent="0.3">
      <c r="K193" s="339"/>
      <c r="L193" s="339"/>
    </row>
    <row r="194" spans="11:12" x14ac:dyDescent="0.3">
      <c r="K194" s="339"/>
      <c r="L194" s="339"/>
    </row>
    <row r="195" spans="11:12" x14ac:dyDescent="0.3">
      <c r="K195" s="339"/>
      <c r="L195" s="339"/>
    </row>
    <row r="196" spans="11:12" x14ac:dyDescent="0.3">
      <c r="K196" s="339"/>
      <c r="L196" s="339"/>
    </row>
    <row r="197" spans="11:12" x14ac:dyDescent="0.3">
      <c r="K197" s="339"/>
      <c r="L197" s="339"/>
    </row>
    <row r="198" spans="11:12" x14ac:dyDescent="0.3">
      <c r="K198" s="339"/>
      <c r="L198" s="339"/>
    </row>
    <row r="199" spans="11:12" x14ac:dyDescent="0.3">
      <c r="K199" s="339"/>
      <c r="L199" s="339"/>
    </row>
    <row r="200" spans="11:12" x14ac:dyDescent="0.3">
      <c r="K200" s="339"/>
      <c r="L200" s="339"/>
    </row>
    <row r="201" spans="11:12" x14ac:dyDescent="0.3">
      <c r="K201" s="339"/>
      <c r="L201" s="339"/>
    </row>
    <row r="202" spans="11:12" x14ac:dyDescent="0.3">
      <c r="K202" s="339"/>
      <c r="L202" s="339"/>
    </row>
    <row r="203" spans="11:12" x14ac:dyDescent="0.3">
      <c r="K203" s="339"/>
      <c r="L203" s="339"/>
    </row>
    <row r="204" spans="11:12" x14ac:dyDescent="0.3">
      <c r="K204" s="339"/>
      <c r="L204" s="339"/>
    </row>
    <row r="205" spans="11:12" x14ac:dyDescent="0.3">
      <c r="K205" s="339"/>
      <c r="L205" s="339"/>
    </row>
    <row r="206" spans="11:12" x14ac:dyDescent="0.3">
      <c r="K206" s="339"/>
      <c r="L206" s="339"/>
    </row>
    <row r="207" spans="11:12" x14ac:dyDescent="0.3">
      <c r="K207" s="339"/>
      <c r="L207" s="339"/>
    </row>
    <row r="208" spans="11:12" x14ac:dyDescent="0.3">
      <c r="K208" s="339"/>
      <c r="L208" s="339"/>
    </row>
    <row r="209" spans="11:12" x14ac:dyDescent="0.3">
      <c r="K209" s="339"/>
      <c r="L209" s="339"/>
    </row>
    <row r="210" spans="11:12" x14ac:dyDescent="0.3">
      <c r="K210" s="339"/>
      <c r="L210" s="339"/>
    </row>
    <row r="211" spans="11:12" x14ac:dyDescent="0.3">
      <c r="K211" s="339"/>
      <c r="L211" s="339"/>
    </row>
    <row r="212" spans="11:12" x14ac:dyDescent="0.3">
      <c r="K212" s="339"/>
      <c r="L212" s="339"/>
    </row>
    <row r="213" spans="11:12" x14ac:dyDescent="0.3">
      <c r="K213" s="339"/>
      <c r="L213" s="339"/>
    </row>
    <row r="214" spans="11:12" x14ac:dyDescent="0.3">
      <c r="K214" s="339"/>
      <c r="L214" s="339"/>
    </row>
    <row r="215" spans="11:12" x14ac:dyDescent="0.3">
      <c r="K215" s="339"/>
      <c r="L215" s="339"/>
    </row>
    <row r="216" spans="11:12" x14ac:dyDescent="0.3">
      <c r="K216" s="339"/>
      <c r="L216" s="339"/>
    </row>
    <row r="217" spans="11:12" x14ac:dyDescent="0.3">
      <c r="K217" s="339"/>
      <c r="L217" s="339"/>
    </row>
    <row r="218" spans="11:12" x14ac:dyDescent="0.3">
      <c r="K218" s="339"/>
      <c r="L218" s="339"/>
    </row>
    <row r="219" spans="11:12" x14ac:dyDescent="0.3">
      <c r="K219" s="339"/>
      <c r="L219" s="339"/>
    </row>
    <row r="220" spans="11:12" x14ac:dyDescent="0.3">
      <c r="K220" s="339"/>
      <c r="L220" s="339"/>
    </row>
    <row r="221" spans="11:12" x14ac:dyDescent="0.3">
      <c r="K221" s="339"/>
      <c r="L221" s="339"/>
    </row>
    <row r="222" spans="11:12" x14ac:dyDescent="0.3">
      <c r="K222" s="339"/>
      <c r="L222" s="339"/>
    </row>
    <row r="223" spans="11:12" x14ac:dyDescent="0.3">
      <c r="K223" s="339"/>
      <c r="L223" s="339"/>
    </row>
    <row r="224" spans="11:12" x14ac:dyDescent="0.3">
      <c r="K224" s="339"/>
      <c r="L224" s="339"/>
    </row>
    <row r="225" spans="11:12" x14ac:dyDescent="0.3">
      <c r="K225" s="339"/>
      <c r="L225" s="339"/>
    </row>
    <row r="226" spans="11:12" x14ac:dyDescent="0.3">
      <c r="K226" s="339"/>
      <c r="L226" s="339"/>
    </row>
    <row r="227" spans="11:12" x14ac:dyDescent="0.3">
      <c r="K227" s="339"/>
      <c r="L227" s="339"/>
    </row>
    <row r="228" spans="11:12" x14ac:dyDescent="0.3">
      <c r="K228" s="339"/>
      <c r="L228" s="339"/>
    </row>
    <row r="229" spans="11:12" x14ac:dyDescent="0.3">
      <c r="K229" s="339"/>
      <c r="L229" s="339"/>
    </row>
    <row r="230" spans="11:12" x14ac:dyDescent="0.3">
      <c r="K230" s="339"/>
      <c r="L230" s="339"/>
    </row>
    <row r="231" spans="11:12" x14ac:dyDescent="0.3">
      <c r="K231" s="339"/>
      <c r="L231" s="339"/>
    </row>
    <row r="232" spans="11:12" x14ac:dyDescent="0.3">
      <c r="K232" s="339"/>
      <c r="L232" s="339"/>
    </row>
    <row r="233" spans="11:12" x14ac:dyDescent="0.3">
      <c r="K233" s="339"/>
      <c r="L233" s="339"/>
    </row>
    <row r="234" spans="11:12" x14ac:dyDescent="0.3">
      <c r="K234" s="339"/>
      <c r="L234" s="339"/>
    </row>
    <row r="235" spans="11:12" x14ac:dyDescent="0.3">
      <c r="K235" s="339"/>
      <c r="L235" s="339"/>
    </row>
    <row r="236" spans="11:12" x14ac:dyDescent="0.3">
      <c r="K236" s="339"/>
      <c r="L236" s="339"/>
    </row>
    <row r="237" spans="11:12" x14ac:dyDescent="0.3">
      <c r="K237" s="339"/>
      <c r="L237" s="339"/>
    </row>
    <row r="238" spans="11:12" x14ac:dyDescent="0.3">
      <c r="K238" s="339"/>
      <c r="L238" s="339"/>
    </row>
    <row r="239" spans="11:12" x14ac:dyDescent="0.3">
      <c r="K239" s="339"/>
      <c r="L239" s="339"/>
    </row>
    <row r="240" spans="11:12" x14ac:dyDescent="0.3">
      <c r="K240" s="339"/>
      <c r="L240" s="339"/>
    </row>
    <row r="241" spans="11:12" x14ac:dyDescent="0.3">
      <c r="K241" s="339"/>
      <c r="L241" s="339"/>
    </row>
    <row r="242" spans="11:12" x14ac:dyDescent="0.3">
      <c r="K242" s="339"/>
      <c r="L242" s="339"/>
    </row>
    <row r="243" spans="11:12" x14ac:dyDescent="0.3">
      <c r="K243" s="339"/>
      <c r="L243" s="339"/>
    </row>
    <row r="244" spans="11:12" x14ac:dyDescent="0.3">
      <c r="K244" s="339"/>
      <c r="L244" s="339"/>
    </row>
    <row r="245" spans="11:12" x14ac:dyDescent="0.3">
      <c r="K245" s="339"/>
      <c r="L245" s="339"/>
    </row>
    <row r="246" spans="11:12" x14ac:dyDescent="0.3">
      <c r="K246" s="339"/>
      <c r="L246" s="339"/>
    </row>
    <row r="247" spans="11:12" x14ac:dyDescent="0.3">
      <c r="K247" s="339"/>
      <c r="L247" s="339"/>
    </row>
    <row r="248" spans="11:12" x14ac:dyDescent="0.3">
      <c r="K248" s="339"/>
      <c r="L248" s="339"/>
    </row>
    <row r="249" spans="11:12" x14ac:dyDescent="0.3">
      <c r="K249" s="339"/>
      <c r="L249" s="339"/>
    </row>
    <row r="250" spans="11:12" x14ac:dyDescent="0.3">
      <c r="K250" s="339"/>
      <c r="L250" s="339"/>
    </row>
    <row r="251" spans="11:12" x14ac:dyDescent="0.3">
      <c r="K251" s="339"/>
      <c r="L251" s="339"/>
    </row>
    <row r="252" spans="11:12" x14ac:dyDescent="0.3">
      <c r="K252" s="339"/>
      <c r="L252" s="339"/>
    </row>
    <row r="253" spans="11:12" x14ac:dyDescent="0.3">
      <c r="K253" s="339"/>
      <c r="L253" s="339"/>
    </row>
    <row r="254" spans="11:12" x14ac:dyDescent="0.3">
      <c r="K254" s="339"/>
      <c r="L254" s="339"/>
    </row>
    <row r="255" spans="11:12" x14ac:dyDescent="0.3">
      <c r="K255" s="339"/>
      <c r="L255" s="339"/>
    </row>
    <row r="256" spans="11:12" x14ac:dyDescent="0.3">
      <c r="K256" s="339"/>
      <c r="L256" s="339"/>
    </row>
    <row r="257" spans="11:12" x14ac:dyDescent="0.3">
      <c r="K257" s="339"/>
      <c r="L257" s="339"/>
    </row>
    <row r="258" spans="11:12" x14ac:dyDescent="0.3">
      <c r="K258" s="339"/>
      <c r="L258" s="339"/>
    </row>
    <row r="259" spans="11:12" x14ac:dyDescent="0.3">
      <c r="K259" s="339"/>
      <c r="L259" s="339"/>
    </row>
    <row r="260" spans="11:12" x14ac:dyDescent="0.3">
      <c r="K260" s="339"/>
      <c r="L260" s="339"/>
    </row>
    <row r="261" spans="11:12" x14ac:dyDescent="0.3">
      <c r="K261" s="339"/>
      <c r="L261" s="339"/>
    </row>
    <row r="262" spans="11:12" x14ac:dyDescent="0.3">
      <c r="K262" s="339"/>
      <c r="L262" s="339"/>
    </row>
    <row r="263" spans="11:12" x14ac:dyDescent="0.3">
      <c r="K263" s="339"/>
      <c r="L263" s="339"/>
    </row>
    <row r="264" spans="11:12" x14ac:dyDescent="0.3">
      <c r="K264" s="339"/>
      <c r="L264" s="339"/>
    </row>
    <row r="265" spans="11:12" x14ac:dyDescent="0.3">
      <c r="K265" s="339"/>
      <c r="L265" s="339"/>
    </row>
    <row r="266" spans="11:12" x14ac:dyDescent="0.3">
      <c r="K266" s="339"/>
      <c r="L266" s="339"/>
    </row>
    <row r="267" spans="11:12" x14ac:dyDescent="0.3">
      <c r="K267" s="339"/>
      <c r="L267" s="339"/>
    </row>
    <row r="268" spans="11:12" x14ac:dyDescent="0.3">
      <c r="K268" s="339"/>
      <c r="L268" s="339"/>
    </row>
    <row r="269" spans="11:12" x14ac:dyDescent="0.3">
      <c r="K269" s="339"/>
      <c r="L269" s="339"/>
    </row>
    <row r="270" spans="11:12" x14ac:dyDescent="0.3">
      <c r="K270" s="339"/>
      <c r="L270" s="339"/>
    </row>
    <row r="271" spans="11:12" x14ac:dyDescent="0.3">
      <c r="K271" s="339"/>
      <c r="L271" s="339"/>
    </row>
    <row r="272" spans="11:12" x14ac:dyDescent="0.3">
      <c r="K272" s="339"/>
      <c r="L272" s="339"/>
    </row>
    <row r="273" spans="11:12" x14ac:dyDescent="0.3">
      <c r="K273" s="339"/>
      <c r="L273" s="339"/>
    </row>
    <row r="274" spans="11:12" x14ac:dyDescent="0.3">
      <c r="K274" s="339"/>
      <c r="L274" s="339"/>
    </row>
    <row r="275" spans="11:12" x14ac:dyDescent="0.3">
      <c r="K275" s="339"/>
      <c r="L275" s="339"/>
    </row>
    <row r="276" spans="11:12" x14ac:dyDescent="0.3">
      <c r="K276" s="339"/>
      <c r="L276" s="339"/>
    </row>
    <row r="277" spans="11:12" x14ac:dyDescent="0.3">
      <c r="K277" s="339"/>
      <c r="L277" s="339"/>
    </row>
    <row r="278" spans="11:12" x14ac:dyDescent="0.3">
      <c r="K278" s="339"/>
      <c r="L278" s="339"/>
    </row>
    <row r="279" spans="11:12" x14ac:dyDescent="0.3">
      <c r="K279" s="339"/>
      <c r="L279" s="339"/>
    </row>
    <row r="280" spans="11:12" x14ac:dyDescent="0.3">
      <c r="K280" s="339"/>
      <c r="L280" s="339"/>
    </row>
    <row r="281" spans="11:12" x14ac:dyDescent="0.3">
      <c r="K281" s="339"/>
      <c r="L281" s="339"/>
    </row>
    <row r="282" spans="11:12" x14ac:dyDescent="0.3">
      <c r="K282" s="339"/>
      <c r="L282" s="339"/>
    </row>
    <row r="283" spans="11:12" x14ac:dyDescent="0.3">
      <c r="K283" s="339"/>
      <c r="L283" s="339"/>
    </row>
    <row r="284" spans="11:12" x14ac:dyDescent="0.3">
      <c r="K284" s="339"/>
      <c r="L284" s="339"/>
    </row>
    <row r="285" spans="11:12" x14ac:dyDescent="0.3">
      <c r="K285" s="339"/>
      <c r="L285" s="339"/>
    </row>
    <row r="286" spans="11:12" x14ac:dyDescent="0.3">
      <c r="K286" s="339"/>
      <c r="L286" s="339"/>
    </row>
    <row r="287" spans="11:12" x14ac:dyDescent="0.3">
      <c r="K287" s="339"/>
      <c r="L287" s="339"/>
    </row>
    <row r="288" spans="11:12" x14ac:dyDescent="0.3">
      <c r="K288" s="339"/>
      <c r="L288" s="339"/>
    </row>
    <row r="289" spans="11:12" x14ac:dyDescent="0.3">
      <c r="K289" s="339"/>
      <c r="L289" s="339"/>
    </row>
    <row r="290" spans="11:12" x14ac:dyDescent="0.3">
      <c r="K290" s="339"/>
      <c r="L290" s="339"/>
    </row>
    <row r="291" spans="11:12" x14ac:dyDescent="0.3">
      <c r="K291" s="339"/>
      <c r="L291" s="339"/>
    </row>
    <row r="292" spans="11:12" x14ac:dyDescent="0.3">
      <c r="K292" s="339"/>
      <c r="L292" s="339"/>
    </row>
    <row r="293" spans="11:12" x14ac:dyDescent="0.3">
      <c r="K293" s="339"/>
      <c r="L293" s="339"/>
    </row>
    <row r="294" spans="11:12" x14ac:dyDescent="0.3">
      <c r="K294" s="339"/>
      <c r="L294" s="339"/>
    </row>
    <row r="295" spans="11:12" x14ac:dyDescent="0.3">
      <c r="K295" s="339"/>
      <c r="L295" s="339"/>
    </row>
    <row r="296" spans="11:12" x14ac:dyDescent="0.3">
      <c r="K296" s="339"/>
      <c r="L296" s="339"/>
    </row>
    <row r="297" spans="11:12" x14ac:dyDescent="0.3">
      <c r="K297" s="339"/>
      <c r="L297" s="339"/>
    </row>
    <row r="298" spans="11:12" x14ac:dyDescent="0.3">
      <c r="K298" s="339"/>
      <c r="L298" s="339"/>
    </row>
    <row r="299" spans="11:12" x14ac:dyDescent="0.3">
      <c r="K299" s="339"/>
      <c r="L299" s="339"/>
    </row>
    <row r="300" spans="11:12" x14ac:dyDescent="0.3">
      <c r="K300" s="339"/>
      <c r="L300" s="339"/>
    </row>
    <row r="301" spans="11:12" x14ac:dyDescent="0.3">
      <c r="K301" s="339"/>
      <c r="L301" s="339"/>
    </row>
    <row r="302" spans="11:12" x14ac:dyDescent="0.3">
      <c r="K302" s="339"/>
      <c r="L302" s="339"/>
    </row>
    <row r="303" spans="11:12" x14ac:dyDescent="0.3">
      <c r="K303" s="339"/>
      <c r="L303" s="339"/>
    </row>
    <row r="304" spans="11:12" x14ac:dyDescent="0.3">
      <c r="K304" s="339"/>
      <c r="L304" s="339"/>
    </row>
    <row r="305" spans="11:12" x14ac:dyDescent="0.3">
      <c r="K305" s="339"/>
      <c r="L305" s="339"/>
    </row>
    <row r="306" spans="11:12" x14ac:dyDescent="0.3">
      <c r="K306" s="339"/>
      <c r="L306" s="339"/>
    </row>
    <row r="307" spans="11:12" x14ac:dyDescent="0.3">
      <c r="K307" s="339"/>
      <c r="L307" s="339"/>
    </row>
    <row r="308" spans="11:12" x14ac:dyDescent="0.3">
      <c r="K308" s="339"/>
      <c r="L308" s="339"/>
    </row>
    <row r="309" spans="11:12" x14ac:dyDescent="0.3">
      <c r="K309" s="339"/>
      <c r="L309" s="339"/>
    </row>
    <row r="310" spans="11:12" x14ac:dyDescent="0.3">
      <c r="K310" s="339"/>
      <c r="L310" s="339"/>
    </row>
    <row r="311" spans="11:12" x14ac:dyDescent="0.3">
      <c r="K311" s="339"/>
      <c r="L311" s="339"/>
    </row>
    <row r="312" spans="11:12" x14ac:dyDescent="0.3">
      <c r="K312" s="339"/>
      <c r="L312" s="339"/>
    </row>
    <row r="313" spans="11:12" x14ac:dyDescent="0.3">
      <c r="K313" s="339"/>
      <c r="L313" s="339"/>
    </row>
    <row r="314" spans="11:12" x14ac:dyDescent="0.3">
      <c r="K314" s="339"/>
      <c r="L314" s="339"/>
    </row>
    <row r="315" spans="11:12" x14ac:dyDescent="0.3">
      <c r="K315" s="339"/>
      <c r="L315" s="339"/>
    </row>
    <row r="316" spans="11:12" x14ac:dyDescent="0.3">
      <c r="K316" s="339"/>
      <c r="L316" s="339"/>
    </row>
    <row r="317" spans="11:12" x14ac:dyDescent="0.3">
      <c r="K317" s="339"/>
      <c r="L317" s="339"/>
    </row>
    <row r="318" spans="11:12" x14ac:dyDescent="0.3">
      <c r="K318" s="339"/>
      <c r="L318" s="339"/>
    </row>
    <row r="319" spans="11:12" x14ac:dyDescent="0.3">
      <c r="K319" s="339"/>
      <c r="L319" s="339"/>
    </row>
    <row r="320" spans="11:12" x14ac:dyDescent="0.3">
      <c r="K320" s="339"/>
      <c r="L320" s="339"/>
    </row>
    <row r="321" spans="11:12" x14ac:dyDescent="0.3">
      <c r="K321" s="339"/>
      <c r="L321" s="339"/>
    </row>
    <row r="322" spans="11:12" x14ac:dyDescent="0.3">
      <c r="K322" s="339"/>
      <c r="L322" s="339"/>
    </row>
    <row r="323" spans="11:12" x14ac:dyDescent="0.3">
      <c r="K323" s="339"/>
      <c r="L323" s="339"/>
    </row>
    <row r="324" spans="11:12" x14ac:dyDescent="0.3">
      <c r="K324" s="339"/>
      <c r="L324" s="339"/>
    </row>
    <row r="325" spans="11:12" x14ac:dyDescent="0.3">
      <c r="K325" s="339"/>
      <c r="L325" s="339"/>
    </row>
    <row r="326" spans="11:12" x14ac:dyDescent="0.3">
      <c r="K326" s="339"/>
      <c r="L326" s="339"/>
    </row>
    <row r="327" spans="11:12" x14ac:dyDescent="0.3">
      <c r="K327" s="339"/>
      <c r="L327" s="339"/>
    </row>
    <row r="328" spans="11:12" x14ac:dyDescent="0.3">
      <c r="K328" s="339"/>
      <c r="L328" s="339"/>
    </row>
    <row r="329" spans="11:12" x14ac:dyDescent="0.3">
      <c r="K329" s="339"/>
      <c r="L329" s="339"/>
    </row>
    <row r="330" spans="11:12" x14ac:dyDescent="0.3">
      <c r="K330" s="339"/>
      <c r="L330" s="339"/>
    </row>
    <row r="331" spans="11:12" x14ac:dyDescent="0.3">
      <c r="K331" s="339"/>
      <c r="L331" s="339"/>
    </row>
    <row r="332" spans="11:12" x14ac:dyDescent="0.3">
      <c r="K332" s="339"/>
      <c r="L332" s="339"/>
    </row>
    <row r="333" spans="11:12" x14ac:dyDescent="0.3">
      <c r="K333" s="339"/>
      <c r="L333" s="339"/>
    </row>
    <row r="334" spans="11:12" x14ac:dyDescent="0.3">
      <c r="K334" s="339"/>
      <c r="L334" s="339"/>
    </row>
    <row r="335" spans="11:12" x14ac:dyDescent="0.3">
      <c r="K335" s="339"/>
      <c r="L335" s="339"/>
    </row>
    <row r="336" spans="11:12" x14ac:dyDescent="0.3">
      <c r="K336" s="339"/>
      <c r="L336" s="339"/>
    </row>
    <row r="337" spans="11:12" x14ac:dyDescent="0.3">
      <c r="K337" s="339"/>
      <c r="L337" s="339"/>
    </row>
    <row r="338" spans="11:12" x14ac:dyDescent="0.3">
      <c r="K338" s="339"/>
      <c r="L338" s="339"/>
    </row>
    <row r="339" spans="11:12" x14ac:dyDescent="0.3">
      <c r="K339" s="339"/>
      <c r="L339" s="339"/>
    </row>
    <row r="340" spans="11:12" x14ac:dyDescent="0.3">
      <c r="K340" s="339"/>
      <c r="L340" s="339"/>
    </row>
    <row r="341" spans="11:12" x14ac:dyDescent="0.3">
      <c r="K341" s="339"/>
      <c r="L341" s="339"/>
    </row>
    <row r="342" spans="11:12" x14ac:dyDescent="0.3">
      <c r="K342" s="339"/>
      <c r="L342" s="339"/>
    </row>
    <row r="343" spans="11:12" x14ac:dyDescent="0.3">
      <c r="K343" s="339"/>
      <c r="L343" s="339"/>
    </row>
    <row r="344" spans="11:12" x14ac:dyDescent="0.3">
      <c r="K344" s="339"/>
      <c r="L344" s="339"/>
    </row>
    <row r="345" spans="11:12" x14ac:dyDescent="0.3">
      <c r="K345" s="339"/>
      <c r="L345" s="339"/>
    </row>
    <row r="346" spans="11:12" x14ac:dyDescent="0.3">
      <c r="K346" s="339"/>
      <c r="L346" s="339"/>
    </row>
    <row r="347" spans="11:12" x14ac:dyDescent="0.3">
      <c r="K347" s="339"/>
      <c r="L347" s="339"/>
    </row>
    <row r="348" spans="11:12" x14ac:dyDescent="0.3">
      <c r="K348" s="339"/>
      <c r="L348" s="339"/>
    </row>
    <row r="349" spans="11:12" x14ac:dyDescent="0.3">
      <c r="K349" s="339"/>
      <c r="L349" s="339"/>
    </row>
    <row r="350" spans="11:12" x14ac:dyDescent="0.3">
      <c r="K350" s="339"/>
      <c r="L350" s="339"/>
    </row>
    <row r="351" spans="11:12" x14ac:dyDescent="0.3">
      <c r="K351" s="339"/>
      <c r="L351" s="339"/>
    </row>
    <row r="352" spans="11:12" x14ac:dyDescent="0.3">
      <c r="K352" s="339"/>
      <c r="L352" s="339"/>
    </row>
    <row r="353" spans="11:12" x14ac:dyDescent="0.3">
      <c r="K353" s="339"/>
      <c r="L353" s="339"/>
    </row>
    <row r="354" spans="11:12" x14ac:dyDescent="0.3">
      <c r="K354" s="339"/>
      <c r="L354" s="339"/>
    </row>
    <row r="355" spans="11:12" x14ac:dyDescent="0.3">
      <c r="K355" s="339"/>
      <c r="L355" s="339"/>
    </row>
    <row r="356" spans="11:12" x14ac:dyDescent="0.3">
      <c r="K356" s="339"/>
      <c r="L356" s="339"/>
    </row>
    <row r="357" spans="11:12" x14ac:dyDescent="0.3">
      <c r="K357" s="339"/>
      <c r="L357" s="339"/>
    </row>
    <row r="358" spans="11:12" x14ac:dyDescent="0.3">
      <c r="K358" s="339"/>
      <c r="L358" s="339"/>
    </row>
    <row r="359" spans="11:12" x14ac:dyDescent="0.3">
      <c r="K359" s="339"/>
      <c r="L359" s="339"/>
    </row>
    <row r="360" spans="11:12" x14ac:dyDescent="0.3">
      <c r="K360" s="339"/>
      <c r="L360" s="339"/>
    </row>
    <row r="361" spans="11:12" x14ac:dyDescent="0.3">
      <c r="K361" s="339"/>
      <c r="L361" s="339"/>
    </row>
    <row r="362" spans="11:12" x14ac:dyDescent="0.3">
      <c r="K362" s="339"/>
      <c r="L362" s="339"/>
    </row>
    <row r="363" spans="11:12" x14ac:dyDescent="0.3">
      <c r="K363" s="339"/>
      <c r="L363" s="339"/>
    </row>
    <row r="364" spans="11:12" x14ac:dyDescent="0.3">
      <c r="K364" s="339"/>
      <c r="L364" s="339"/>
    </row>
    <row r="365" spans="11:12" x14ac:dyDescent="0.3">
      <c r="K365" s="339"/>
      <c r="L365" s="339"/>
    </row>
    <row r="366" spans="11:12" x14ac:dyDescent="0.3">
      <c r="K366" s="339"/>
      <c r="L366" s="339"/>
    </row>
    <row r="367" spans="11:12" x14ac:dyDescent="0.3">
      <c r="K367" s="339"/>
      <c r="L367" s="339"/>
    </row>
    <row r="368" spans="11:12" x14ac:dyDescent="0.3">
      <c r="K368" s="339"/>
      <c r="L368" s="339"/>
    </row>
    <row r="369" spans="11:12" x14ac:dyDescent="0.3">
      <c r="K369" s="339"/>
      <c r="L369" s="339"/>
    </row>
    <row r="370" spans="11:12" x14ac:dyDescent="0.3">
      <c r="K370" s="339"/>
      <c r="L370" s="339"/>
    </row>
    <row r="371" spans="11:12" x14ac:dyDescent="0.3">
      <c r="K371" s="339"/>
      <c r="L371" s="339"/>
    </row>
    <row r="372" spans="11:12" x14ac:dyDescent="0.3">
      <c r="K372" s="339"/>
      <c r="L372" s="339"/>
    </row>
    <row r="373" spans="11:12" x14ac:dyDescent="0.3">
      <c r="K373" s="339"/>
      <c r="L373" s="339"/>
    </row>
    <row r="374" spans="11:12" x14ac:dyDescent="0.3">
      <c r="K374" s="339"/>
      <c r="L374" s="339"/>
    </row>
    <row r="375" spans="11:12" x14ac:dyDescent="0.3">
      <c r="K375" s="339"/>
      <c r="L375" s="339"/>
    </row>
    <row r="376" spans="11:12" x14ac:dyDescent="0.3">
      <c r="K376" s="339"/>
      <c r="L376" s="339"/>
    </row>
    <row r="377" spans="11:12" x14ac:dyDescent="0.3">
      <c r="K377" s="339"/>
      <c r="L377" s="339"/>
    </row>
    <row r="378" spans="11:12" x14ac:dyDescent="0.3">
      <c r="K378" s="339"/>
      <c r="L378" s="339"/>
    </row>
    <row r="379" spans="11:12" x14ac:dyDescent="0.3">
      <c r="K379" s="339"/>
      <c r="L379" s="339"/>
    </row>
    <row r="380" spans="11:12" x14ac:dyDescent="0.3">
      <c r="K380" s="339"/>
      <c r="L380" s="339"/>
    </row>
    <row r="381" spans="11:12" x14ac:dyDescent="0.3">
      <c r="K381" s="339"/>
      <c r="L381" s="339"/>
    </row>
  </sheetData>
  <mergeCells count="17">
    <mergeCell ref="A3:A4"/>
    <mergeCell ref="B3:D3"/>
    <mergeCell ref="E3:G3"/>
    <mergeCell ref="I3:I4"/>
    <mergeCell ref="J3:L3"/>
    <mergeCell ref="A37:A38"/>
    <mergeCell ref="B37:D37"/>
    <mergeCell ref="E37:G37"/>
    <mergeCell ref="A152:A153"/>
    <mergeCell ref="B152:D152"/>
    <mergeCell ref="E152:G152"/>
    <mergeCell ref="A74:A75"/>
    <mergeCell ref="B74:D74"/>
    <mergeCell ref="E74:G74"/>
    <mergeCell ref="A115:A116"/>
    <mergeCell ref="B115:D115"/>
    <mergeCell ref="E115:G115"/>
  </mergeCells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9FF33"/>
  </sheetPr>
  <dimension ref="A1:T170"/>
  <sheetViews>
    <sheetView zoomScale="110" zoomScaleNormal="110" workbookViewId="0">
      <selection sqref="A1:XFD1048576"/>
    </sheetView>
  </sheetViews>
  <sheetFormatPr defaultColWidth="9.140625" defaultRowHeight="18.75" x14ac:dyDescent="0.3"/>
  <cols>
    <col min="1" max="1" width="18.140625" style="339" customWidth="1"/>
    <col min="2" max="3" width="9" style="339" customWidth="1"/>
    <col min="4" max="4" width="10.42578125" style="339" customWidth="1"/>
    <col min="5" max="7" width="9" style="339" customWidth="1"/>
    <col min="8" max="8" width="9.140625" style="339"/>
    <col min="9" max="9" width="23.28515625" style="339" customWidth="1"/>
    <col min="10" max="12" width="8.7109375" style="339" customWidth="1"/>
    <col min="13" max="13" width="14.140625" style="339" customWidth="1"/>
    <col min="14" max="14" width="10.42578125" style="339" customWidth="1"/>
    <col min="15" max="15" width="9.140625" style="339"/>
    <col min="16" max="16" width="10" style="339" bestFit="1" customWidth="1"/>
    <col min="17" max="16384" width="9.140625" style="339"/>
  </cols>
  <sheetData>
    <row r="1" spans="1:20" x14ac:dyDescent="0.3">
      <c r="A1" s="2222" t="s">
        <v>816</v>
      </c>
      <c r="L1" s="382"/>
      <c r="N1" s="382"/>
      <c r="Q1" s="520"/>
      <c r="R1" s="520"/>
      <c r="S1" s="521"/>
      <c r="T1" s="522"/>
    </row>
    <row r="2" spans="1:20" x14ac:dyDescent="0.3">
      <c r="N2" s="379"/>
      <c r="Q2" s="520"/>
      <c r="R2" s="520"/>
      <c r="S2" s="523"/>
      <c r="T2" s="520"/>
    </row>
    <row r="3" spans="1:20" ht="24.95" customHeight="1" x14ac:dyDescent="0.3">
      <c r="A3" s="3516" t="s">
        <v>0</v>
      </c>
      <c r="B3" s="3520" t="s">
        <v>6</v>
      </c>
      <c r="C3" s="3520"/>
      <c r="D3" s="3520"/>
      <c r="E3" s="3520" t="s">
        <v>2</v>
      </c>
      <c r="F3" s="3520"/>
      <c r="G3" s="3520"/>
      <c r="I3" s="3516" t="s">
        <v>0</v>
      </c>
      <c r="J3" s="3518" t="s">
        <v>28</v>
      </c>
      <c r="K3" s="3518"/>
      <c r="L3" s="3518"/>
      <c r="N3" s="379"/>
      <c r="P3" s="520"/>
      <c r="Q3" s="520"/>
      <c r="R3" s="520"/>
      <c r="S3" s="520"/>
      <c r="T3" s="520"/>
    </row>
    <row r="4" spans="1:20" ht="24.95" customHeight="1" x14ac:dyDescent="0.3">
      <c r="A4" s="3517"/>
      <c r="B4" s="380" t="s">
        <v>28</v>
      </c>
      <c r="C4" s="769" t="s">
        <v>34</v>
      </c>
      <c r="D4" s="731" t="s">
        <v>62</v>
      </c>
      <c r="E4" s="380" t="s">
        <v>28</v>
      </c>
      <c r="F4" s="769" t="s">
        <v>34</v>
      </c>
      <c r="G4" s="731" t="s">
        <v>62</v>
      </c>
      <c r="I4" s="3517"/>
      <c r="J4" s="380" t="s">
        <v>28</v>
      </c>
      <c r="K4" s="769" t="s">
        <v>34</v>
      </c>
      <c r="L4" s="731" t="s">
        <v>62</v>
      </c>
      <c r="N4" s="379"/>
      <c r="P4" s="520"/>
      <c r="Q4" s="520"/>
      <c r="R4" s="520"/>
    </row>
    <row r="5" spans="1:20" ht="24.95" customHeight="1" thickBot="1" x14ac:dyDescent="0.35">
      <c r="A5" s="525" t="s">
        <v>28</v>
      </c>
      <c r="B5" s="367">
        <v>0</v>
      </c>
      <c r="C5" s="770">
        <v>0</v>
      </c>
      <c r="D5" s="732">
        <v>0</v>
      </c>
      <c r="E5" s="367">
        <v>0</v>
      </c>
      <c r="F5" s="770">
        <v>0</v>
      </c>
      <c r="G5" s="732">
        <v>0</v>
      </c>
      <c r="I5" s="525" t="s">
        <v>28</v>
      </c>
      <c r="J5" s="367">
        <v>193643.3</v>
      </c>
      <c r="K5" s="770">
        <v>47980</v>
      </c>
      <c r="L5" s="732">
        <v>145663.29999999999</v>
      </c>
      <c r="N5" s="524"/>
      <c r="Q5" s="520"/>
    </row>
    <row r="6" spans="1:20" s="342" customFormat="1" ht="24.95" customHeight="1" thickTop="1" x14ac:dyDescent="0.3">
      <c r="A6" s="369" t="s">
        <v>7</v>
      </c>
      <c r="B6" s="370">
        <v>0</v>
      </c>
      <c r="C6" s="771">
        <v>0</v>
      </c>
      <c r="D6" s="733">
        <v>0</v>
      </c>
      <c r="E6" s="370">
        <v>0</v>
      </c>
      <c r="F6" s="771">
        <v>0</v>
      </c>
      <c r="G6" s="733">
        <v>0</v>
      </c>
      <c r="I6" s="369" t="s">
        <v>7</v>
      </c>
      <c r="J6" s="370">
        <v>23740</v>
      </c>
      <c r="K6" s="771">
        <v>0</v>
      </c>
      <c r="L6" s="733">
        <v>23740</v>
      </c>
      <c r="N6" s="379"/>
      <c r="O6" s="339"/>
      <c r="P6" s="339"/>
      <c r="Q6" s="339"/>
      <c r="R6" s="339"/>
    </row>
    <row r="7" spans="1:20" ht="24.95" customHeight="1" x14ac:dyDescent="0.3">
      <c r="A7" s="372" t="s">
        <v>8</v>
      </c>
      <c r="B7" s="372">
        <v>0</v>
      </c>
      <c r="C7" s="772"/>
      <c r="D7" s="734"/>
      <c r="E7" s="372">
        <v>0</v>
      </c>
      <c r="F7" s="772"/>
      <c r="G7" s="734"/>
      <c r="I7" s="372" t="s">
        <v>8</v>
      </c>
      <c r="J7" s="372">
        <v>23740</v>
      </c>
      <c r="K7" s="772">
        <v>0</v>
      </c>
      <c r="L7" s="734">
        <v>23740</v>
      </c>
      <c r="R7" s="342"/>
    </row>
    <row r="8" spans="1:20" ht="24.95" customHeight="1" x14ac:dyDescent="0.3">
      <c r="A8" s="372" t="s">
        <v>306</v>
      </c>
      <c r="B8" s="372">
        <v>0</v>
      </c>
      <c r="C8" s="772"/>
      <c r="D8" s="734"/>
      <c r="E8" s="372">
        <v>0</v>
      </c>
      <c r="F8" s="772"/>
      <c r="G8" s="734"/>
      <c r="I8" s="372" t="s">
        <v>306</v>
      </c>
      <c r="J8" s="372">
        <v>0</v>
      </c>
      <c r="K8" s="772">
        <v>0</v>
      </c>
      <c r="L8" s="734">
        <v>0</v>
      </c>
      <c r="N8" s="379"/>
    </row>
    <row r="9" spans="1:20" ht="24.95" customHeight="1" x14ac:dyDescent="0.3">
      <c r="A9" s="372"/>
      <c r="B9" s="372"/>
      <c r="C9" s="772"/>
      <c r="D9" s="734"/>
      <c r="E9" s="372"/>
      <c r="F9" s="772"/>
      <c r="G9" s="734"/>
      <c r="I9" s="372"/>
      <c r="J9" s="372"/>
      <c r="K9" s="772"/>
      <c r="L9" s="734"/>
    </row>
    <row r="10" spans="1:20" s="342" customFormat="1" ht="24.95" customHeight="1" x14ac:dyDescent="0.3">
      <c r="A10" s="526" t="s">
        <v>9</v>
      </c>
      <c r="B10" s="375">
        <v>0</v>
      </c>
      <c r="C10" s="773">
        <v>0</v>
      </c>
      <c r="D10" s="735">
        <v>0</v>
      </c>
      <c r="E10" s="375">
        <v>0</v>
      </c>
      <c r="F10" s="773">
        <v>0</v>
      </c>
      <c r="G10" s="735">
        <v>0</v>
      </c>
      <c r="I10" s="526" t="s">
        <v>9</v>
      </c>
      <c r="J10" s="375">
        <v>169903.3</v>
      </c>
      <c r="K10" s="773">
        <v>47980</v>
      </c>
      <c r="L10" s="735">
        <v>121923.3</v>
      </c>
      <c r="N10" s="339"/>
      <c r="O10" s="339"/>
      <c r="P10" s="339"/>
      <c r="Q10" s="339"/>
    </row>
    <row r="11" spans="1:20" ht="24.95" customHeight="1" x14ac:dyDescent="0.3">
      <c r="A11" s="372" t="s">
        <v>308</v>
      </c>
      <c r="B11" s="372">
        <v>0</v>
      </c>
      <c r="C11" s="772"/>
      <c r="D11" s="734"/>
      <c r="E11" s="372">
        <v>0</v>
      </c>
      <c r="F11" s="772"/>
      <c r="G11" s="734"/>
      <c r="I11" s="372" t="s">
        <v>308</v>
      </c>
      <c r="J11" s="372">
        <v>169903.3</v>
      </c>
      <c r="K11" s="772">
        <v>47980</v>
      </c>
      <c r="L11" s="734">
        <v>121923.3</v>
      </c>
    </row>
    <row r="12" spans="1:20" ht="24.95" customHeight="1" x14ac:dyDescent="0.3">
      <c r="A12" s="372" t="s">
        <v>309</v>
      </c>
      <c r="B12" s="372">
        <v>0</v>
      </c>
      <c r="C12" s="772"/>
      <c r="D12" s="734"/>
      <c r="E12" s="372">
        <v>0</v>
      </c>
      <c r="F12" s="772"/>
      <c r="G12" s="734"/>
      <c r="I12" s="372" t="s">
        <v>309</v>
      </c>
      <c r="J12" s="372">
        <v>0</v>
      </c>
      <c r="K12" s="772">
        <v>0</v>
      </c>
      <c r="L12" s="734">
        <v>0</v>
      </c>
    </row>
    <row r="13" spans="1:20" ht="24.95" customHeight="1" x14ac:dyDescent="0.3">
      <c r="A13" s="372" t="s">
        <v>310</v>
      </c>
      <c r="B13" s="372">
        <v>0</v>
      </c>
      <c r="C13" s="772"/>
      <c r="D13" s="734"/>
      <c r="E13" s="372">
        <v>0</v>
      </c>
      <c r="F13" s="772"/>
      <c r="G13" s="734"/>
      <c r="I13" s="372" t="s">
        <v>310</v>
      </c>
      <c r="J13" s="372">
        <v>0</v>
      </c>
      <c r="K13" s="772">
        <v>0</v>
      </c>
      <c r="L13" s="734">
        <v>0</v>
      </c>
    </row>
    <row r="14" spans="1:20" ht="24.95" customHeight="1" x14ac:dyDescent="0.3">
      <c r="A14" s="372" t="s">
        <v>311</v>
      </c>
      <c r="B14" s="372">
        <v>0</v>
      </c>
      <c r="C14" s="772"/>
      <c r="D14" s="734"/>
      <c r="E14" s="372">
        <v>0</v>
      </c>
      <c r="F14" s="772"/>
      <c r="G14" s="734"/>
      <c r="I14" s="372" t="s">
        <v>311</v>
      </c>
      <c r="J14" s="372">
        <v>0</v>
      </c>
      <c r="K14" s="772">
        <v>0</v>
      </c>
      <c r="L14" s="734">
        <v>0</v>
      </c>
      <c r="N14" s="379"/>
    </row>
    <row r="15" spans="1:20" ht="24.95" customHeight="1" x14ac:dyDescent="0.3">
      <c r="A15" s="372" t="s">
        <v>312</v>
      </c>
      <c r="B15" s="372">
        <v>0</v>
      </c>
      <c r="C15" s="772"/>
      <c r="D15" s="734"/>
      <c r="E15" s="372">
        <v>0</v>
      </c>
      <c r="F15" s="772"/>
      <c r="G15" s="734"/>
      <c r="I15" s="372" t="s">
        <v>312</v>
      </c>
      <c r="J15" s="372">
        <v>0</v>
      </c>
      <c r="K15" s="772">
        <v>0</v>
      </c>
      <c r="L15" s="734">
        <v>0</v>
      </c>
      <c r="N15" s="379"/>
    </row>
    <row r="16" spans="1:20" ht="24.95" customHeight="1" x14ac:dyDescent="0.3">
      <c r="A16" s="372" t="s">
        <v>313</v>
      </c>
      <c r="B16" s="372">
        <v>0</v>
      </c>
      <c r="C16" s="772"/>
      <c r="D16" s="734"/>
      <c r="E16" s="372">
        <v>0</v>
      </c>
      <c r="F16" s="772"/>
      <c r="G16" s="734"/>
      <c r="I16" s="372" t="s">
        <v>313</v>
      </c>
      <c r="J16" s="372">
        <v>0</v>
      </c>
      <c r="K16" s="772">
        <v>0</v>
      </c>
      <c r="L16" s="734">
        <v>0</v>
      </c>
    </row>
    <row r="17" spans="1:19" ht="24.95" customHeight="1" x14ac:dyDescent="0.3">
      <c r="A17" s="372" t="s">
        <v>314</v>
      </c>
      <c r="B17" s="372">
        <v>0</v>
      </c>
      <c r="C17" s="772"/>
      <c r="D17" s="734"/>
      <c r="E17" s="372">
        <v>0</v>
      </c>
      <c r="F17" s="772"/>
      <c r="G17" s="734"/>
      <c r="I17" s="372" t="s">
        <v>314</v>
      </c>
      <c r="J17" s="372">
        <v>0</v>
      </c>
      <c r="K17" s="772">
        <v>0</v>
      </c>
      <c r="L17" s="734">
        <v>0</v>
      </c>
      <c r="N17" s="379"/>
      <c r="P17" s="520"/>
    </row>
    <row r="18" spans="1:19" ht="24.95" customHeight="1" x14ac:dyDescent="0.3">
      <c r="A18" s="372" t="s">
        <v>315</v>
      </c>
      <c r="B18" s="372">
        <v>0</v>
      </c>
      <c r="C18" s="772"/>
      <c r="D18" s="734"/>
      <c r="E18" s="372">
        <v>0</v>
      </c>
      <c r="F18" s="772"/>
      <c r="G18" s="734"/>
      <c r="I18" s="372" t="s">
        <v>315</v>
      </c>
      <c r="J18" s="372">
        <v>0</v>
      </c>
      <c r="K18" s="772">
        <v>0</v>
      </c>
      <c r="L18" s="734">
        <v>0</v>
      </c>
    </row>
    <row r="19" spans="1:19" ht="24.95" customHeight="1" x14ac:dyDescent="0.3">
      <c r="A19" s="372" t="s">
        <v>390</v>
      </c>
      <c r="B19" s="372">
        <v>0</v>
      </c>
      <c r="C19" s="772"/>
      <c r="D19" s="734"/>
      <c r="E19" s="372">
        <v>0</v>
      </c>
      <c r="F19" s="772"/>
      <c r="G19" s="734"/>
      <c r="I19" s="372" t="s">
        <v>390</v>
      </c>
      <c r="J19" s="372">
        <v>0</v>
      </c>
      <c r="K19" s="772">
        <v>0</v>
      </c>
      <c r="L19" s="734">
        <v>0</v>
      </c>
    </row>
    <row r="20" spans="1:19" s="342" customFormat="1" ht="24.95" customHeight="1" x14ac:dyDescent="0.3">
      <c r="A20" s="526" t="s">
        <v>12</v>
      </c>
      <c r="B20" s="375">
        <v>0</v>
      </c>
      <c r="C20" s="773">
        <v>0</v>
      </c>
      <c r="D20" s="735">
        <v>0</v>
      </c>
      <c r="E20" s="375">
        <v>0</v>
      </c>
      <c r="F20" s="773">
        <v>0</v>
      </c>
      <c r="G20" s="735">
        <v>0</v>
      </c>
      <c r="I20" s="526" t="s">
        <v>12</v>
      </c>
      <c r="J20" s="375">
        <v>0</v>
      </c>
      <c r="K20" s="773">
        <v>0</v>
      </c>
      <c r="L20" s="735">
        <v>0</v>
      </c>
    </row>
    <row r="21" spans="1:19" ht="24.95" customHeight="1" x14ac:dyDescent="0.3">
      <c r="A21" s="372" t="s">
        <v>391</v>
      </c>
      <c r="B21" s="372">
        <v>0</v>
      </c>
      <c r="C21" s="772"/>
      <c r="D21" s="734"/>
      <c r="E21" s="372">
        <v>0</v>
      </c>
      <c r="F21" s="772"/>
      <c r="G21" s="734"/>
      <c r="I21" s="372" t="s">
        <v>391</v>
      </c>
      <c r="J21" s="372">
        <v>0</v>
      </c>
      <c r="K21" s="772">
        <v>0</v>
      </c>
      <c r="L21" s="734">
        <v>0</v>
      </c>
      <c r="N21" s="3521"/>
      <c r="O21" s="3521"/>
      <c r="P21" s="3521"/>
      <c r="Q21" s="3521"/>
      <c r="R21" s="3521"/>
      <c r="S21" s="3521"/>
    </row>
    <row r="22" spans="1:19" ht="24.95" customHeight="1" x14ac:dyDescent="0.3">
      <c r="A22" s="372" t="s">
        <v>392</v>
      </c>
      <c r="B22" s="372">
        <v>0</v>
      </c>
      <c r="C22" s="772"/>
      <c r="D22" s="734"/>
      <c r="E22" s="372">
        <v>0</v>
      </c>
      <c r="F22" s="772"/>
      <c r="G22" s="734"/>
      <c r="I22" s="372" t="s">
        <v>392</v>
      </c>
      <c r="J22" s="372">
        <v>0</v>
      </c>
      <c r="K22" s="772">
        <v>0</v>
      </c>
      <c r="L22" s="734">
        <v>0</v>
      </c>
    </row>
    <row r="23" spans="1:19" ht="24.95" customHeight="1" x14ac:dyDescent="0.3">
      <c r="A23" s="372" t="s">
        <v>393</v>
      </c>
      <c r="B23" s="372">
        <v>0</v>
      </c>
      <c r="C23" s="772"/>
      <c r="D23" s="734"/>
      <c r="E23" s="372">
        <v>0</v>
      </c>
      <c r="F23" s="772"/>
      <c r="G23" s="734"/>
      <c r="I23" s="372" t="s">
        <v>393</v>
      </c>
      <c r="J23" s="372">
        <v>0</v>
      </c>
      <c r="K23" s="772">
        <v>0</v>
      </c>
      <c r="L23" s="734">
        <v>0</v>
      </c>
    </row>
    <row r="24" spans="1:19" ht="24.95" customHeight="1" x14ac:dyDescent="0.3">
      <c r="A24" s="372" t="s">
        <v>394</v>
      </c>
      <c r="B24" s="372">
        <v>0</v>
      </c>
      <c r="C24" s="772"/>
      <c r="D24" s="734"/>
      <c r="E24" s="372">
        <v>0</v>
      </c>
      <c r="F24" s="772"/>
      <c r="G24" s="734"/>
      <c r="I24" s="372" t="s">
        <v>394</v>
      </c>
      <c r="J24" s="372">
        <v>0</v>
      </c>
      <c r="K24" s="772">
        <v>0</v>
      </c>
      <c r="L24" s="734">
        <v>0</v>
      </c>
    </row>
    <row r="25" spans="1:19" ht="24.95" customHeight="1" x14ac:dyDescent="0.3">
      <c r="A25" s="377"/>
      <c r="B25" s="377"/>
      <c r="C25" s="774"/>
      <c r="D25" s="736"/>
      <c r="E25" s="377"/>
      <c r="F25" s="774"/>
      <c r="G25" s="736"/>
      <c r="I25" s="377"/>
      <c r="J25" s="377"/>
      <c r="K25" s="774"/>
      <c r="L25" s="736"/>
    </row>
    <row r="37" spans="1:7" x14ac:dyDescent="0.3">
      <c r="A37" s="3516" t="s">
        <v>0</v>
      </c>
      <c r="B37" s="3520" t="s">
        <v>1</v>
      </c>
      <c r="C37" s="3520"/>
      <c r="D37" s="3520"/>
      <c r="E37" s="3520" t="s">
        <v>3</v>
      </c>
      <c r="F37" s="3520"/>
      <c r="G37" s="3520"/>
    </row>
    <row r="38" spans="1:7" x14ac:dyDescent="0.3">
      <c r="A38" s="3517"/>
      <c r="B38" s="380" t="s">
        <v>28</v>
      </c>
      <c r="C38" s="769" t="s">
        <v>34</v>
      </c>
      <c r="D38" s="731" t="s">
        <v>62</v>
      </c>
      <c r="E38" s="380" t="s">
        <v>28</v>
      </c>
      <c r="F38" s="769" t="s">
        <v>34</v>
      </c>
      <c r="G38" s="731" t="s">
        <v>62</v>
      </c>
    </row>
    <row r="39" spans="1:7" ht="19.5" thickBot="1" x14ac:dyDescent="0.35">
      <c r="A39" s="525" t="s">
        <v>28</v>
      </c>
      <c r="B39" s="367">
        <v>0</v>
      </c>
      <c r="C39" s="770">
        <v>0</v>
      </c>
      <c r="D39" s="737">
        <v>0</v>
      </c>
      <c r="E39" s="367">
        <v>12040</v>
      </c>
      <c r="F39" s="770">
        <v>0</v>
      </c>
      <c r="G39" s="732">
        <v>12040</v>
      </c>
    </row>
    <row r="40" spans="1:7" ht="19.5" thickTop="1" x14ac:dyDescent="0.3">
      <c r="A40" s="369" t="s">
        <v>7</v>
      </c>
      <c r="B40" s="370">
        <v>0</v>
      </c>
      <c r="C40" s="771">
        <v>0</v>
      </c>
      <c r="D40" s="733">
        <v>0</v>
      </c>
      <c r="E40" s="370">
        <v>0</v>
      </c>
      <c r="F40" s="771">
        <v>0</v>
      </c>
      <c r="G40" s="733">
        <v>0</v>
      </c>
    </row>
    <row r="41" spans="1:7" x14ac:dyDescent="0.3">
      <c r="A41" s="372" t="s">
        <v>8</v>
      </c>
      <c r="B41" s="372">
        <v>0</v>
      </c>
      <c r="C41" s="772"/>
      <c r="D41" s="734"/>
      <c r="E41" s="372">
        <v>0</v>
      </c>
      <c r="F41" s="772">
        <v>0</v>
      </c>
      <c r="G41" s="734">
        <v>0</v>
      </c>
    </row>
    <row r="42" spans="1:7" x14ac:dyDescent="0.3">
      <c r="A42" s="372" t="s">
        <v>306</v>
      </c>
      <c r="B42" s="372">
        <v>0</v>
      </c>
      <c r="C42" s="772"/>
      <c r="D42" s="734"/>
      <c r="E42" s="372">
        <v>0</v>
      </c>
      <c r="F42" s="772">
        <v>0</v>
      </c>
      <c r="G42" s="734">
        <v>0</v>
      </c>
    </row>
    <row r="43" spans="1:7" x14ac:dyDescent="0.3">
      <c r="A43" s="372"/>
      <c r="B43" s="372"/>
      <c r="C43" s="772"/>
      <c r="D43" s="734"/>
      <c r="E43" s="372"/>
      <c r="F43" s="772"/>
      <c r="G43" s="734"/>
    </row>
    <row r="44" spans="1:7" x14ac:dyDescent="0.3">
      <c r="A44" s="526" t="s">
        <v>9</v>
      </c>
      <c r="B44" s="375">
        <v>0</v>
      </c>
      <c r="C44" s="773">
        <v>0</v>
      </c>
      <c r="D44" s="735">
        <v>0</v>
      </c>
      <c r="E44" s="375">
        <v>12040</v>
      </c>
      <c r="F44" s="773">
        <v>0</v>
      </c>
      <c r="G44" s="735">
        <v>12040</v>
      </c>
    </row>
    <row r="45" spans="1:7" x14ac:dyDescent="0.3">
      <c r="A45" s="372" t="s">
        <v>308</v>
      </c>
      <c r="B45" s="372">
        <v>0</v>
      </c>
      <c r="C45" s="772"/>
      <c r="D45" s="734"/>
      <c r="E45" s="372">
        <v>12040</v>
      </c>
      <c r="F45" s="772">
        <v>0</v>
      </c>
      <c r="G45" s="734">
        <v>12040</v>
      </c>
    </row>
    <row r="46" spans="1:7" x14ac:dyDescent="0.3">
      <c r="A46" s="372" t="s">
        <v>309</v>
      </c>
      <c r="B46" s="372">
        <v>0</v>
      </c>
      <c r="C46" s="772"/>
      <c r="D46" s="734"/>
      <c r="E46" s="372">
        <v>0</v>
      </c>
      <c r="F46" s="772">
        <v>0</v>
      </c>
      <c r="G46" s="734">
        <v>0</v>
      </c>
    </row>
    <row r="47" spans="1:7" x14ac:dyDescent="0.3">
      <c r="A47" s="372" t="s">
        <v>310</v>
      </c>
      <c r="B47" s="372">
        <v>0</v>
      </c>
      <c r="C47" s="772"/>
      <c r="D47" s="734"/>
      <c r="E47" s="372">
        <v>0</v>
      </c>
      <c r="F47" s="772">
        <v>0</v>
      </c>
      <c r="G47" s="734">
        <v>0</v>
      </c>
    </row>
    <row r="48" spans="1:7" x14ac:dyDescent="0.3">
      <c r="A48" s="372" t="s">
        <v>311</v>
      </c>
      <c r="B48" s="372">
        <v>0</v>
      </c>
      <c r="C48" s="772"/>
      <c r="D48" s="734"/>
      <c r="E48" s="372">
        <v>0</v>
      </c>
      <c r="F48" s="772">
        <v>0</v>
      </c>
      <c r="G48" s="734">
        <v>0</v>
      </c>
    </row>
    <row r="49" spans="1:7" x14ac:dyDescent="0.3">
      <c r="A49" s="372" t="s">
        <v>312</v>
      </c>
      <c r="B49" s="372">
        <v>0</v>
      </c>
      <c r="C49" s="772"/>
      <c r="D49" s="734"/>
      <c r="E49" s="372">
        <v>0</v>
      </c>
      <c r="F49" s="772">
        <v>0</v>
      </c>
      <c r="G49" s="734">
        <v>0</v>
      </c>
    </row>
    <row r="50" spans="1:7" x14ac:dyDescent="0.3">
      <c r="A50" s="372" t="s">
        <v>313</v>
      </c>
      <c r="B50" s="372">
        <v>0</v>
      </c>
      <c r="C50" s="772"/>
      <c r="D50" s="734"/>
      <c r="E50" s="372">
        <v>0</v>
      </c>
      <c r="F50" s="772">
        <v>0</v>
      </c>
      <c r="G50" s="734">
        <v>0</v>
      </c>
    </row>
    <row r="51" spans="1:7" x14ac:dyDescent="0.3">
      <c r="A51" s="372" t="s">
        <v>314</v>
      </c>
      <c r="B51" s="372">
        <v>0</v>
      </c>
      <c r="C51" s="772"/>
      <c r="D51" s="734"/>
      <c r="E51" s="372">
        <v>0</v>
      </c>
      <c r="F51" s="772">
        <v>0</v>
      </c>
      <c r="G51" s="734">
        <v>0</v>
      </c>
    </row>
    <row r="52" spans="1:7" x14ac:dyDescent="0.3">
      <c r="A52" s="372" t="s">
        <v>315</v>
      </c>
      <c r="B52" s="372">
        <v>0</v>
      </c>
      <c r="C52" s="772"/>
      <c r="D52" s="734"/>
      <c r="E52" s="372">
        <v>0</v>
      </c>
      <c r="F52" s="772">
        <v>0</v>
      </c>
      <c r="G52" s="734">
        <v>0</v>
      </c>
    </row>
    <row r="53" spans="1:7" x14ac:dyDescent="0.3">
      <c r="A53" s="372" t="s">
        <v>390</v>
      </c>
      <c r="B53" s="372">
        <v>0</v>
      </c>
      <c r="C53" s="772"/>
      <c r="D53" s="734"/>
      <c r="E53" s="372">
        <v>0</v>
      </c>
      <c r="F53" s="772">
        <v>0</v>
      </c>
      <c r="G53" s="734">
        <v>0</v>
      </c>
    </row>
    <row r="54" spans="1:7" x14ac:dyDescent="0.3">
      <c r="A54" s="526" t="s">
        <v>12</v>
      </c>
      <c r="B54" s="375">
        <v>0</v>
      </c>
      <c r="C54" s="773">
        <v>0</v>
      </c>
      <c r="D54" s="735">
        <v>0</v>
      </c>
      <c r="E54" s="375">
        <v>0</v>
      </c>
      <c r="F54" s="773">
        <v>0</v>
      </c>
      <c r="G54" s="735">
        <v>0</v>
      </c>
    </row>
    <row r="55" spans="1:7" x14ac:dyDescent="0.3">
      <c r="A55" s="372" t="s">
        <v>391</v>
      </c>
      <c r="B55" s="372">
        <v>0</v>
      </c>
      <c r="C55" s="772"/>
      <c r="D55" s="734"/>
      <c r="E55" s="372">
        <v>0</v>
      </c>
      <c r="F55" s="772">
        <v>0</v>
      </c>
      <c r="G55" s="734">
        <v>0</v>
      </c>
    </row>
    <row r="56" spans="1:7" x14ac:dyDescent="0.3">
      <c r="A56" s="372" t="s">
        <v>392</v>
      </c>
      <c r="B56" s="372">
        <v>0</v>
      </c>
      <c r="C56" s="772"/>
      <c r="D56" s="734"/>
      <c r="E56" s="372">
        <v>0</v>
      </c>
      <c r="F56" s="772">
        <v>0</v>
      </c>
      <c r="G56" s="734">
        <v>0</v>
      </c>
    </row>
    <row r="57" spans="1:7" x14ac:dyDescent="0.3">
      <c r="A57" s="372" t="s">
        <v>393</v>
      </c>
      <c r="B57" s="372">
        <v>0</v>
      </c>
      <c r="C57" s="772"/>
      <c r="D57" s="734"/>
      <c r="E57" s="372">
        <v>0</v>
      </c>
      <c r="F57" s="772">
        <v>0</v>
      </c>
      <c r="G57" s="734">
        <v>0</v>
      </c>
    </row>
    <row r="58" spans="1:7" x14ac:dyDescent="0.3">
      <c r="A58" s="372" t="s">
        <v>394</v>
      </c>
      <c r="B58" s="372">
        <v>0</v>
      </c>
      <c r="C58" s="772"/>
      <c r="D58" s="734"/>
      <c r="E58" s="372">
        <v>0</v>
      </c>
      <c r="F58" s="772">
        <v>0</v>
      </c>
      <c r="G58" s="734">
        <v>0</v>
      </c>
    </row>
    <row r="59" spans="1:7" x14ac:dyDescent="0.3">
      <c r="A59" s="377"/>
      <c r="B59" s="377"/>
      <c r="C59" s="774"/>
      <c r="D59" s="736"/>
      <c r="E59" s="377"/>
      <c r="F59" s="774"/>
      <c r="G59" s="736"/>
    </row>
    <row r="74" spans="1:7" x14ac:dyDescent="0.3">
      <c r="A74" s="3516" t="s">
        <v>0</v>
      </c>
      <c r="B74" s="3520" t="s">
        <v>24</v>
      </c>
      <c r="C74" s="3520"/>
      <c r="D74" s="3520"/>
      <c r="E74" s="3520" t="s">
        <v>23</v>
      </c>
      <c r="F74" s="3520"/>
      <c r="G74" s="3520"/>
    </row>
    <row r="75" spans="1:7" x14ac:dyDescent="0.3">
      <c r="A75" s="3517"/>
      <c r="B75" s="380" t="s">
        <v>28</v>
      </c>
      <c r="C75" s="769" t="s">
        <v>34</v>
      </c>
      <c r="D75" s="731" t="s">
        <v>62</v>
      </c>
      <c r="E75" s="380" t="s">
        <v>28</v>
      </c>
      <c r="F75" s="769" t="s">
        <v>34</v>
      </c>
      <c r="G75" s="731" t="s">
        <v>62</v>
      </c>
    </row>
    <row r="76" spans="1:7" ht="19.5" thickBot="1" x14ac:dyDescent="0.35">
      <c r="A76" s="525" t="s">
        <v>28</v>
      </c>
      <c r="B76" s="367">
        <v>0</v>
      </c>
      <c r="C76" s="770">
        <v>0</v>
      </c>
      <c r="D76" s="732">
        <v>0</v>
      </c>
      <c r="E76" s="367">
        <v>0</v>
      </c>
      <c r="F76" s="770">
        <v>0</v>
      </c>
      <c r="G76" s="732">
        <v>0</v>
      </c>
    </row>
    <row r="77" spans="1:7" ht="19.5" thickTop="1" x14ac:dyDescent="0.3">
      <c r="A77" s="369" t="s">
        <v>7</v>
      </c>
      <c r="B77" s="370">
        <v>0</v>
      </c>
      <c r="C77" s="771">
        <v>0</v>
      </c>
      <c r="D77" s="733">
        <v>0</v>
      </c>
      <c r="E77" s="370">
        <v>0</v>
      </c>
      <c r="F77" s="771">
        <v>0</v>
      </c>
      <c r="G77" s="733">
        <v>0</v>
      </c>
    </row>
    <row r="78" spans="1:7" x14ac:dyDescent="0.3">
      <c r="A78" s="372" t="s">
        <v>8</v>
      </c>
      <c r="B78" s="372">
        <v>0</v>
      </c>
      <c r="C78" s="772"/>
      <c r="D78" s="734"/>
      <c r="E78" s="372">
        <v>0</v>
      </c>
      <c r="F78" s="772"/>
      <c r="G78" s="734"/>
    </row>
    <row r="79" spans="1:7" x14ac:dyDescent="0.3">
      <c r="A79" s="372" t="s">
        <v>306</v>
      </c>
      <c r="B79" s="372">
        <v>0</v>
      </c>
      <c r="C79" s="772"/>
      <c r="D79" s="734"/>
      <c r="E79" s="372">
        <v>0</v>
      </c>
      <c r="F79" s="772"/>
      <c r="G79" s="734"/>
    </row>
    <row r="80" spans="1:7" x14ac:dyDescent="0.3">
      <c r="A80" s="372"/>
      <c r="B80" s="372"/>
      <c r="C80" s="772"/>
      <c r="D80" s="734"/>
      <c r="E80" s="372"/>
      <c r="F80" s="772"/>
      <c r="G80" s="734"/>
    </row>
    <row r="81" spans="1:7" x14ac:dyDescent="0.3">
      <c r="A81" s="526" t="s">
        <v>9</v>
      </c>
      <c r="B81" s="375">
        <v>0</v>
      </c>
      <c r="C81" s="773">
        <v>0</v>
      </c>
      <c r="D81" s="735">
        <v>0</v>
      </c>
      <c r="E81" s="375">
        <v>0</v>
      </c>
      <c r="F81" s="773">
        <v>0</v>
      </c>
      <c r="G81" s="735">
        <v>0</v>
      </c>
    </row>
    <row r="82" spans="1:7" x14ac:dyDescent="0.3">
      <c r="A82" s="372" t="s">
        <v>308</v>
      </c>
      <c r="B82" s="372">
        <v>0</v>
      </c>
      <c r="C82" s="772"/>
      <c r="D82" s="734"/>
      <c r="E82" s="372">
        <v>0</v>
      </c>
      <c r="F82" s="772"/>
      <c r="G82" s="734"/>
    </row>
    <row r="83" spans="1:7" x14ac:dyDescent="0.3">
      <c r="A83" s="372" t="s">
        <v>309</v>
      </c>
      <c r="B83" s="372">
        <v>0</v>
      </c>
      <c r="C83" s="772"/>
      <c r="D83" s="734"/>
      <c r="E83" s="372">
        <v>0</v>
      </c>
      <c r="F83" s="772"/>
      <c r="G83" s="734"/>
    </row>
    <row r="84" spans="1:7" x14ac:dyDescent="0.3">
      <c r="A84" s="372" t="s">
        <v>310</v>
      </c>
      <c r="B84" s="372">
        <v>0</v>
      </c>
      <c r="C84" s="772"/>
      <c r="D84" s="734"/>
      <c r="E84" s="372">
        <v>0</v>
      </c>
      <c r="F84" s="772"/>
      <c r="G84" s="734"/>
    </row>
    <row r="85" spans="1:7" x14ac:dyDescent="0.3">
      <c r="A85" s="372" t="s">
        <v>311</v>
      </c>
      <c r="B85" s="372">
        <v>0</v>
      </c>
      <c r="C85" s="772"/>
      <c r="D85" s="734"/>
      <c r="E85" s="372">
        <v>0</v>
      </c>
      <c r="F85" s="772"/>
      <c r="G85" s="734"/>
    </row>
    <row r="86" spans="1:7" x14ac:dyDescent="0.3">
      <c r="A86" s="372" t="s">
        <v>312</v>
      </c>
      <c r="B86" s="372">
        <v>0</v>
      </c>
      <c r="C86" s="772"/>
      <c r="D86" s="734"/>
      <c r="E86" s="372">
        <v>0</v>
      </c>
      <c r="F86" s="772"/>
      <c r="G86" s="734"/>
    </row>
    <row r="87" spans="1:7" x14ac:dyDescent="0.3">
      <c r="A87" s="372" t="s">
        <v>313</v>
      </c>
      <c r="B87" s="372">
        <v>0</v>
      </c>
      <c r="C87" s="772"/>
      <c r="D87" s="734"/>
      <c r="E87" s="372">
        <v>0</v>
      </c>
      <c r="F87" s="772"/>
      <c r="G87" s="734"/>
    </row>
    <row r="88" spans="1:7" x14ac:dyDescent="0.3">
      <c r="A88" s="372" t="s">
        <v>314</v>
      </c>
      <c r="B88" s="372"/>
      <c r="C88" s="772"/>
      <c r="D88" s="734"/>
      <c r="E88" s="372">
        <v>0</v>
      </c>
      <c r="F88" s="772"/>
      <c r="G88" s="734"/>
    </row>
    <row r="89" spans="1:7" x14ac:dyDescent="0.3">
      <c r="A89" s="372" t="s">
        <v>315</v>
      </c>
      <c r="B89" s="372"/>
      <c r="C89" s="772"/>
      <c r="D89" s="734"/>
      <c r="E89" s="372">
        <v>0</v>
      </c>
      <c r="F89" s="772"/>
      <c r="G89" s="734"/>
    </row>
    <row r="90" spans="1:7" x14ac:dyDescent="0.3">
      <c r="A90" s="372" t="s">
        <v>390</v>
      </c>
      <c r="B90" s="372"/>
      <c r="C90" s="772"/>
      <c r="D90" s="734"/>
      <c r="E90" s="372"/>
      <c r="F90" s="772"/>
      <c r="G90" s="734"/>
    </row>
    <row r="91" spans="1:7" x14ac:dyDescent="0.3">
      <c r="A91" s="526" t="s">
        <v>12</v>
      </c>
      <c r="B91" s="375">
        <v>0</v>
      </c>
      <c r="C91" s="773">
        <v>0</v>
      </c>
      <c r="D91" s="735">
        <v>0</v>
      </c>
      <c r="E91" s="375">
        <v>0</v>
      </c>
      <c r="F91" s="773">
        <v>0</v>
      </c>
      <c r="G91" s="735">
        <v>0</v>
      </c>
    </row>
    <row r="92" spans="1:7" x14ac:dyDescent="0.3">
      <c r="A92" s="372" t="s">
        <v>391</v>
      </c>
      <c r="B92" s="372">
        <v>0</v>
      </c>
      <c r="C92" s="772"/>
      <c r="D92" s="734"/>
      <c r="E92" s="372">
        <v>0</v>
      </c>
      <c r="F92" s="772"/>
      <c r="G92" s="734"/>
    </row>
    <row r="93" spans="1:7" x14ac:dyDescent="0.3">
      <c r="A93" s="372" t="s">
        <v>392</v>
      </c>
      <c r="B93" s="372">
        <v>0</v>
      </c>
      <c r="C93" s="772"/>
      <c r="D93" s="734"/>
      <c r="E93" s="372">
        <v>0</v>
      </c>
      <c r="F93" s="772"/>
      <c r="G93" s="734"/>
    </row>
    <row r="94" spans="1:7" x14ac:dyDescent="0.3">
      <c r="A94" s="372" t="s">
        <v>393</v>
      </c>
      <c r="B94" s="372">
        <v>0</v>
      </c>
      <c r="C94" s="772"/>
      <c r="D94" s="734"/>
      <c r="E94" s="372">
        <v>0</v>
      </c>
      <c r="F94" s="772"/>
      <c r="G94" s="734"/>
    </row>
    <row r="95" spans="1:7" x14ac:dyDescent="0.3">
      <c r="A95" s="372" t="s">
        <v>394</v>
      </c>
      <c r="B95" s="372">
        <v>0</v>
      </c>
      <c r="C95" s="772"/>
      <c r="D95" s="734"/>
      <c r="E95" s="372">
        <v>0</v>
      </c>
      <c r="F95" s="772"/>
      <c r="G95" s="734"/>
    </row>
    <row r="96" spans="1:7" x14ac:dyDescent="0.3">
      <c r="A96" s="377"/>
      <c r="B96" s="377"/>
      <c r="C96" s="774"/>
      <c r="D96" s="736"/>
      <c r="E96" s="377"/>
      <c r="F96" s="774"/>
      <c r="G96" s="736"/>
    </row>
    <row r="111" spans="1:7" x14ac:dyDescent="0.3">
      <c r="A111" s="3516" t="s">
        <v>0</v>
      </c>
      <c r="B111" s="3520" t="s">
        <v>4</v>
      </c>
      <c r="C111" s="3520"/>
      <c r="D111" s="3520"/>
      <c r="E111" s="3520" t="s">
        <v>20</v>
      </c>
      <c r="F111" s="3520"/>
      <c r="G111" s="3520"/>
    </row>
    <row r="112" spans="1:7" x14ac:dyDescent="0.3">
      <c r="A112" s="3517"/>
      <c r="B112" s="380" t="s">
        <v>28</v>
      </c>
      <c r="C112" s="769" t="s">
        <v>34</v>
      </c>
      <c r="D112" s="731" t="s">
        <v>62</v>
      </c>
      <c r="E112" s="380" t="s">
        <v>28</v>
      </c>
      <c r="F112" s="769" t="s">
        <v>34</v>
      </c>
      <c r="G112" s="731" t="s">
        <v>62</v>
      </c>
    </row>
    <row r="113" spans="1:7" ht="19.5" thickBot="1" x14ac:dyDescent="0.35">
      <c r="A113" s="525" t="s">
        <v>28</v>
      </c>
      <c r="B113" s="367">
        <v>0</v>
      </c>
      <c r="C113" s="770">
        <v>0</v>
      </c>
      <c r="D113" s="732">
        <v>0</v>
      </c>
      <c r="E113" s="367">
        <v>181603.3</v>
      </c>
      <c r="F113" s="770">
        <v>47980</v>
      </c>
      <c r="G113" s="732">
        <v>133623.29999999999</v>
      </c>
    </row>
    <row r="114" spans="1:7" ht="19.5" thickTop="1" x14ac:dyDescent="0.3">
      <c r="A114" s="369" t="s">
        <v>7</v>
      </c>
      <c r="B114" s="370">
        <v>0</v>
      </c>
      <c r="C114" s="771">
        <v>0</v>
      </c>
      <c r="D114" s="733">
        <v>0</v>
      </c>
      <c r="E114" s="370">
        <v>23740</v>
      </c>
      <c r="F114" s="771">
        <v>0</v>
      </c>
      <c r="G114" s="733">
        <v>23740</v>
      </c>
    </row>
    <row r="115" spans="1:7" x14ac:dyDescent="0.3">
      <c r="A115" s="372" t="s">
        <v>8</v>
      </c>
      <c r="B115" s="372">
        <v>0</v>
      </c>
      <c r="C115" s="772"/>
      <c r="D115" s="734"/>
      <c r="E115" s="372">
        <v>23740</v>
      </c>
      <c r="F115" s="772">
        <v>0</v>
      </c>
      <c r="G115" s="734">
        <v>23740</v>
      </c>
    </row>
    <row r="116" spans="1:7" x14ac:dyDescent="0.3">
      <c r="A116" s="372" t="s">
        <v>306</v>
      </c>
      <c r="B116" s="372">
        <v>0</v>
      </c>
      <c r="C116" s="772"/>
      <c r="D116" s="734"/>
      <c r="E116" s="372">
        <v>0</v>
      </c>
      <c r="F116" s="772">
        <v>0</v>
      </c>
      <c r="G116" s="734">
        <v>0</v>
      </c>
    </row>
    <row r="117" spans="1:7" x14ac:dyDescent="0.3">
      <c r="A117" s="372"/>
      <c r="B117" s="372"/>
      <c r="C117" s="772"/>
      <c r="D117" s="734"/>
      <c r="E117" s="372"/>
      <c r="F117" s="772"/>
      <c r="G117" s="734"/>
    </row>
    <row r="118" spans="1:7" x14ac:dyDescent="0.3">
      <c r="A118" s="526" t="s">
        <v>9</v>
      </c>
      <c r="B118" s="375">
        <v>0</v>
      </c>
      <c r="C118" s="773">
        <v>0</v>
      </c>
      <c r="D118" s="735">
        <v>0</v>
      </c>
      <c r="E118" s="375">
        <v>157863.29999999999</v>
      </c>
      <c r="F118" s="773">
        <v>47980</v>
      </c>
      <c r="G118" s="735">
        <v>109883.3</v>
      </c>
    </row>
    <row r="119" spans="1:7" x14ac:dyDescent="0.3">
      <c r="A119" s="372" t="s">
        <v>308</v>
      </c>
      <c r="B119" s="372">
        <v>0</v>
      </c>
      <c r="C119" s="772"/>
      <c r="D119" s="734"/>
      <c r="E119" s="372">
        <v>157863.29999999999</v>
      </c>
      <c r="F119" s="772">
        <v>47980</v>
      </c>
      <c r="G119" s="734">
        <v>109883.3</v>
      </c>
    </row>
    <row r="120" spans="1:7" x14ac:dyDescent="0.3">
      <c r="A120" s="372" t="s">
        <v>309</v>
      </c>
      <c r="B120" s="372">
        <v>0</v>
      </c>
      <c r="C120" s="772"/>
      <c r="D120" s="734"/>
      <c r="E120" s="372">
        <v>0</v>
      </c>
      <c r="F120" s="772">
        <v>0</v>
      </c>
      <c r="G120" s="734">
        <v>0</v>
      </c>
    </row>
    <row r="121" spans="1:7" x14ac:dyDescent="0.3">
      <c r="A121" s="372" t="s">
        <v>310</v>
      </c>
      <c r="B121" s="372">
        <v>0</v>
      </c>
      <c r="C121" s="772"/>
      <c r="D121" s="734"/>
      <c r="E121" s="372">
        <v>0</v>
      </c>
      <c r="F121" s="772">
        <v>0</v>
      </c>
      <c r="G121" s="734">
        <v>0</v>
      </c>
    </row>
    <row r="122" spans="1:7" x14ac:dyDescent="0.3">
      <c r="A122" s="372" t="s">
        <v>311</v>
      </c>
      <c r="B122" s="372">
        <v>0</v>
      </c>
      <c r="C122" s="772"/>
      <c r="D122" s="734"/>
      <c r="E122" s="372">
        <v>0</v>
      </c>
      <c r="F122" s="772">
        <v>0</v>
      </c>
      <c r="G122" s="734">
        <v>0</v>
      </c>
    </row>
    <row r="123" spans="1:7" x14ac:dyDescent="0.3">
      <c r="A123" s="372" t="s">
        <v>312</v>
      </c>
      <c r="B123" s="372">
        <v>0</v>
      </c>
      <c r="C123" s="772"/>
      <c r="D123" s="734"/>
      <c r="E123" s="372">
        <v>0</v>
      </c>
      <c r="F123" s="772">
        <v>0</v>
      </c>
      <c r="G123" s="734">
        <v>0</v>
      </c>
    </row>
    <row r="124" spans="1:7" x14ac:dyDescent="0.3">
      <c r="A124" s="372" t="s">
        <v>313</v>
      </c>
      <c r="B124" s="372">
        <v>0</v>
      </c>
      <c r="C124" s="772"/>
      <c r="D124" s="734"/>
      <c r="E124" s="372">
        <v>0</v>
      </c>
      <c r="F124" s="772">
        <v>0</v>
      </c>
      <c r="G124" s="734">
        <v>0</v>
      </c>
    </row>
    <row r="125" spans="1:7" x14ac:dyDescent="0.3">
      <c r="A125" s="372" t="s">
        <v>314</v>
      </c>
      <c r="B125" s="372"/>
      <c r="C125" s="772"/>
      <c r="D125" s="734"/>
      <c r="E125" s="372">
        <v>0</v>
      </c>
      <c r="F125" s="772">
        <v>0</v>
      </c>
      <c r="G125" s="734">
        <v>0</v>
      </c>
    </row>
    <row r="126" spans="1:7" x14ac:dyDescent="0.3">
      <c r="A126" s="372" t="s">
        <v>315</v>
      </c>
      <c r="B126" s="372"/>
      <c r="C126" s="772"/>
      <c r="D126" s="734"/>
      <c r="E126" s="372">
        <v>0</v>
      </c>
      <c r="F126" s="772">
        <v>0</v>
      </c>
      <c r="G126" s="734">
        <v>0</v>
      </c>
    </row>
    <row r="127" spans="1:7" x14ac:dyDescent="0.3">
      <c r="A127" s="372" t="s">
        <v>390</v>
      </c>
      <c r="B127" s="372"/>
      <c r="C127" s="772"/>
      <c r="D127" s="734"/>
      <c r="E127" s="372"/>
      <c r="F127" s="772">
        <v>0</v>
      </c>
      <c r="G127" s="734">
        <v>0</v>
      </c>
    </row>
    <row r="128" spans="1:7" x14ac:dyDescent="0.3">
      <c r="A128" s="526" t="s">
        <v>12</v>
      </c>
      <c r="B128" s="375">
        <v>0</v>
      </c>
      <c r="C128" s="773">
        <v>0</v>
      </c>
      <c r="D128" s="735">
        <v>0</v>
      </c>
      <c r="E128" s="375">
        <v>0</v>
      </c>
      <c r="F128" s="773">
        <v>0</v>
      </c>
      <c r="G128" s="735">
        <v>0</v>
      </c>
    </row>
    <row r="129" spans="1:7" x14ac:dyDescent="0.3">
      <c r="A129" s="372" t="s">
        <v>391</v>
      </c>
      <c r="B129" s="372">
        <v>0</v>
      </c>
      <c r="C129" s="772"/>
      <c r="D129" s="734"/>
      <c r="E129" s="372">
        <v>0</v>
      </c>
      <c r="F129" s="772">
        <v>0</v>
      </c>
      <c r="G129" s="734">
        <v>0</v>
      </c>
    </row>
    <row r="130" spans="1:7" x14ac:dyDescent="0.3">
      <c r="A130" s="372" t="s">
        <v>392</v>
      </c>
      <c r="B130" s="372">
        <v>0</v>
      </c>
      <c r="C130" s="772"/>
      <c r="D130" s="734"/>
      <c r="E130" s="372">
        <v>0</v>
      </c>
      <c r="F130" s="772">
        <v>0</v>
      </c>
      <c r="G130" s="734">
        <v>0</v>
      </c>
    </row>
    <row r="131" spans="1:7" x14ac:dyDescent="0.3">
      <c r="A131" s="372" t="s">
        <v>393</v>
      </c>
      <c r="B131" s="372">
        <v>0</v>
      </c>
      <c r="C131" s="772"/>
      <c r="D131" s="734"/>
      <c r="E131" s="372">
        <v>0</v>
      </c>
      <c r="F131" s="772">
        <v>0</v>
      </c>
      <c r="G131" s="734">
        <v>0</v>
      </c>
    </row>
    <row r="132" spans="1:7" x14ac:dyDescent="0.3">
      <c r="A132" s="372" t="s">
        <v>394</v>
      </c>
      <c r="B132" s="372">
        <v>0</v>
      </c>
      <c r="C132" s="772"/>
      <c r="D132" s="734"/>
      <c r="E132" s="372">
        <v>0</v>
      </c>
      <c r="F132" s="772">
        <v>0</v>
      </c>
      <c r="G132" s="734">
        <v>0</v>
      </c>
    </row>
    <row r="133" spans="1:7" x14ac:dyDescent="0.3">
      <c r="A133" s="377"/>
      <c r="B133" s="377"/>
      <c r="C133" s="774"/>
      <c r="D133" s="736"/>
      <c r="E133" s="377"/>
      <c r="F133" s="774"/>
      <c r="G133" s="736"/>
    </row>
    <row r="148" spans="1:7" x14ac:dyDescent="0.3">
      <c r="A148" s="3516" t="s">
        <v>0</v>
      </c>
      <c r="B148" s="3520" t="s">
        <v>5</v>
      </c>
      <c r="C148" s="3520"/>
      <c r="D148" s="3520"/>
      <c r="E148" s="3520" t="s">
        <v>21</v>
      </c>
      <c r="F148" s="3520"/>
      <c r="G148" s="3520"/>
    </row>
    <row r="149" spans="1:7" x14ac:dyDescent="0.3">
      <c r="A149" s="3517"/>
      <c r="B149" s="380" t="s">
        <v>28</v>
      </c>
      <c r="C149" s="769" t="s">
        <v>34</v>
      </c>
      <c r="D149" s="731" t="s">
        <v>62</v>
      </c>
      <c r="E149" s="380" t="s">
        <v>28</v>
      </c>
      <c r="F149" s="769" t="s">
        <v>34</v>
      </c>
      <c r="G149" s="731" t="s">
        <v>62</v>
      </c>
    </row>
    <row r="150" spans="1:7" ht="19.5" thickBot="1" x14ac:dyDescent="0.35">
      <c r="A150" s="525" t="s">
        <v>28</v>
      </c>
      <c r="B150" s="367">
        <v>0</v>
      </c>
      <c r="C150" s="770">
        <v>0</v>
      </c>
      <c r="D150" s="732">
        <v>0</v>
      </c>
      <c r="E150" s="367">
        <v>0</v>
      </c>
      <c r="F150" s="770">
        <v>0</v>
      </c>
      <c r="G150" s="732">
        <v>0</v>
      </c>
    </row>
    <row r="151" spans="1:7" ht="19.5" thickTop="1" x14ac:dyDescent="0.3">
      <c r="A151" s="369" t="s">
        <v>7</v>
      </c>
      <c r="B151" s="370">
        <v>0</v>
      </c>
      <c r="C151" s="771">
        <v>0</v>
      </c>
      <c r="D151" s="733">
        <v>0</v>
      </c>
      <c r="E151" s="370">
        <v>0</v>
      </c>
      <c r="F151" s="771">
        <v>0</v>
      </c>
      <c r="G151" s="733">
        <v>0</v>
      </c>
    </row>
    <row r="152" spans="1:7" x14ac:dyDescent="0.3">
      <c r="A152" s="372" t="s">
        <v>8</v>
      </c>
      <c r="B152" s="372">
        <v>0</v>
      </c>
      <c r="C152" s="772"/>
      <c r="D152" s="734"/>
      <c r="E152" s="372">
        <v>0</v>
      </c>
      <c r="F152" s="772"/>
      <c r="G152" s="734"/>
    </row>
    <row r="153" spans="1:7" x14ac:dyDescent="0.3">
      <c r="A153" s="372" t="s">
        <v>306</v>
      </c>
      <c r="B153" s="372">
        <v>0</v>
      </c>
      <c r="C153" s="772"/>
      <c r="D153" s="734"/>
      <c r="E153" s="372">
        <v>0</v>
      </c>
      <c r="F153" s="772"/>
      <c r="G153" s="734"/>
    </row>
    <row r="154" spans="1:7" x14ac:dyDescent="0.3">
      <c r="A154" s="372"/>
      <c r="B154" s="372"/>
      <c r="C154" s="772"/>
      <c r="D154" s="734"/>
      <c r="E154" s="372"/>
      <c r="F154" s="772"/>
      <c r="G154" s="734"/>
    </row>
    <row r="155" spans="1:7" x14ac:dyDescent="0.3">
      <c r="A155" s="526" t="s">
        <v>9</v>
      </c>
      <c r="B155" s="527">
        <v>0</v>
      </c>
      <c r="C155" s="773">
        <v>0</v>
      </c>
      <c r="D155" s="738">
        <v>0</v>
      </c>
      <c r="E155" s="375">
        <v>0</v>
      </c>
      <c r="F155" s="773">
        <v>0</v>
      </c>
      <c r="G155" s="735">
        <v>0</v>
      </c>
    </row>
    <row r="156" spans="1:7" x14ac:dyDescent="0.3">
      <c r="A156" s="372" t="s">
        <v>308</v>
      </c>
      <c r="B156" s="381">
        <v>0</v>
      </c>
      <c r="C156" s="772"/>
      <c r="D156" s="734"/>
      <c r="E156" s="372">
        <v>0</v>
      </c>
      <c r="F156" s="772"/>
      <c r="G156" s="734"/>
    </row>
    <row r="157" spans="1:7" x14ac:dyDescent="0.3">
      <c r="A157" s="372" t="s">
        <v>309</v>
      </c>
      <c r="B157" s="372">
        <v>0</v>
      </c>
      <c r="C157" s="772"/>
      <c r="D157" s="734"/>
      <c r="E157" s="372">
        <v>0</v>
      </c>
      <c r="F157" s="772"/>
      <c r="G157" s="734"/>
    </row>
    <row r="158" spans="1:7" x14ac:dyDescent="0.3">
      <c r="A158" s="372" t="s">
        <v>310</v>
      </c>
      <c r="B158" s="372">
        <v>0</v>
      </c>
      <c r="C158" s="772"/>
      <c r="D158" s="734"/>
      <c r="E158" s="372">
        <v>0</v>
      </c>
      <c r="F158" s="772"/>
      <c r="G158" s="734"/>
    </row>
    <row r="159" spans="1:7" x14ac:dyDescent="0.3">
      <c r="A159" s="372" t="s">
        <v>311</v>
      </c>
      <c r="B159" s="372">
        <v>0</v>
      </c>
      <c r="C159" s="772"/>
      <c r="D159" s="734"/>
      <c r="E159" s="372">
        <v>0</v>
      </c>
      <c r="F159" s="772"/>
      <c r="G159" s="734"/>
    </row>
    <row r="160" spans="1:7" x14ac:dyDescent="0.3">
      <c r="A160" s="372" t="s">
        <v>312</v>
      </c>
      <c r="B160" s="372">
        <v>0</v>
      </c>
      <c r="C160" s="772"/>
      <c r="D160" s="734"/>
      <c r="E160" s="372">
        <v>0</v>
      </c>
      <c r="F160" s="772"/>
      <c r="G160" s="734"/>
    </row>
    <row r="161" spans="1:7" x14ac:dyDescent="0.3">
      <c r="A161" s="372" t="s">
        <v>313</v>
      </c>
      <c r="B161" s="372">
        <v>0</v>
      </c>
      <c r="C161" s="772"/>
      <c r="D161" s="734"/>
      <c r="E161" s="372">
        <v>0</v>
      </c>
      <c r="F161" s="772"/>
      <c r="G161" s="734"/>
    </row>
    <row r="162" spans="1:7" x14ac:dyDescent="0.3">
      <c r="A162" s="372" t="s">
        <v>314</v>
      </c>
      <c r="B162" s="372">
        <v>0</v>
      </c>
      <c r="C162" s="772"/>
      <c r="D162" s="734"/>
      <c r="E162" s="372">
        <v>0</v>
      </c>
      <c r="F162" s="772"/>
      <c r="G162" s="734"/>
    </row>
    <row r="163" spans="1:7" x14ac:dyDescent="0.3">
      <c r="A163" s="372" t="s">
        <v>315</v>
      </c>
      <c r="B163" s="372">
        <v>0</v>
      </c>
      <c r="C163" s="772"/>
      <c r="D163" s="734"/>
      <c r="E163" s="372">
        <v>0</v>
      </c>
      <c r="F163" s="772"/>
      <c r="G163" s="734"/>
    </row>
    <row r="164" spans="1:7" x14ac:dyDescent="0.3">
      <c r="A164" s="372" t="s">
        <v>390</v>
      </c>
      <c r="B164" s="372">
        <v>0</v>
      </c>
      <c r="C164" s="772"/>
      <c r="D164" s="734"/>
      <c r="E164" s="372"/>
      <c r="F164" s="772"/>
      <c r="G164" s="734"/>
    </row>
    <row r="165" spans="1:7" x14ac:dyDescent="0.3">
      <c r="A165" s="526" t="s">
        <v>12</v>
      </c>
      <c r="B165" s="375">
        <v>0</v>
      </c>
      <c r="C165" s="773">
        <v>0</v>
      </c>
      <c r="D165" s="735">
        <v>0</v>
      </c>
      <c r="E165" s="375">
        <v>0</v>
      </c>
      <c r="F165" s="773">
        <v>0</v>
      </c>
      <c r="G165" s="735">
        <v>0</v>
      </c>
    </row>
    <row r="166" spans="1:7" x14ac:dyDescent="0.3">
      <c r="A166" s="372" t="s">
        <v>391</v>
      </c>
      <c r="B166" s="372">
        <v>0</v>
      </c>
      <c r="C166" s="772"/>
      <c r="D166" s="734"/>
      <c r="E166" s="372">
        <v>0</v>
      </c>
      <c r="F166" s="772"/>
      <c r="G166" s="734"/>
    </row>
    <row r="167" spans="1:7" x14ac:dyDescent="0.3">
      <c r="A167" s="372" t="s">
        <v>392</v>
      </c>
      <c r="B167" s="372">
        <v>0</v>
      </c>
      <c r="C167" s="772"/>
      <c r="D167" s="734"/>
      <c r="E167" s="372">
        <v>0</v>
      </c>
      <c r="F167" s="772"/>
      <c r="G167" s="734"/>
    </row>
    <row r="168" spans="1:7" x14ac:dyDescent="0.3">
      <c r="A168" s="372" t="s">
        <v>393</v>
      </c>
      <c r="B168" s="372">
        <v>0</v>
      </c>
      <c r="C168" s="772"/>
      <c r="D168" s="734"/>
      <c r="E168" s="372">
        <v>0</v>
      </c>
      <c r="F168" s="772"/>
      <c r="G168" s="734"/>
    </row>
    <row r="169" spans="1:7" x14ac:dyDescent="0.3">
      <c r="A169" s="372" t="s">
        <v>394</v>
      </c>
      <c r="B169" s="372">
        <v>0</v>
      </c>
      <c r="C169" s="772"/>
      <c r="D169" s="734"/>
      <c r="E169" s="372">
        <v>0</v>
      </c>
      <c r="F169" s="772"/>
      <c r="G169" s="734"/>
    </row>
    <row r="170" spans="1:7" x14ac:dyDescent="0.3">
      <c r="A170" s="377"/>
      <c r="B170" s="377"/>
      <c r="C170" s="774"/>
      <c r="D170" s="736"/>
      <c r="E170" s="377"/>
      <c r="F170" s="774"/>
      <c r="G170" s="736"/>
    </row>
  </sheetData>
  <mergeCells count="18">
    <mergeCell ref="I3:I4"/>
    <mergeCell ref="J3:L3"/>
    <mergeCell ref="A74:A75"/>
    <mergeCell ref="B74:D74"/>
    <mergeCell ref="E74:G74"/>
    <mergeCell ref="B3:D3"/>
    <mergeCell ref="E3:G3"/>
    <mergeCell ref="A3:A4"/>
    <mergeCell ref="A37:A38"/>
    <mergeCell ref="B37:D37"/>
    <mergeCell ref="E37:G37"/>
    <mergeCell ref="N21:S21"/>
    <mergeCell ref="A148:A149"/>
    <mergeCell ref="B148:D148"/>
    <mergeCell ref="E148:G148"/>
    <mergeCell ref="A111:A112"/>
    <mergeCell ref="B111:D111"/>
    <mergeCell ref="E111:G111"/>
  </mergeCells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</sheetPr>
  <dimension ref="A1:T170"/>
  <sheetViews>
    <sheetView zoomScale="93" zoomScaleNormal="93" workbookViewId="0">
      <selection sqref="A1:XFD1048576"/>
    </sheetView>
  </sheetViews>
  <sheetFormatPr defaultColWidth="9.140625" defaultRowHeight="18.75" x14ac:dyDescent="0.3"/>
  <cols>
    <col min="1" max="1" width="18.140625" style="339" customWidth="1"/>
    <col min="2" max="2" width="9" style="339" customWidth="1"/>
    <col min="3" max="3" width="11.28515625" style="339" customWidth="1"/>
    <col min="4" max="7" width="9" style="339" customWidth="1"/>
    <col min="8" max="8" width="9.140625" style="339"/>
    <col min="9" max="9" width="23.28515625" style="339" customWidth="1"/>
    <col min="10" max="10" width="9.7109375" style="339" customWidth="1"/>
    <col min="11" max="11" width="10.28515625" style="339" customWidth="1"/>
    <col min="12" max="12" width="9.28515625" style="339" customWidth="1"/>
    <col min="13" max="13" width="17.7109375" style="339" customWidth="1"/>
    <col min="14" max="14" width="10.42578125" style="339" customWidth="1"/>
    <col min="15" max="15" width="12.28515625" style="339" customWidth="1"/>
    <col min="16" max="16" width="14.28515625" style="339" customWidth="1"/>
    <col min="17" max="16384" width="9.140625" style="339"/>
  </cols>
  <sheetData>
    <row r="1" spans="1:20" x14ac:dyDescent="0.3">
      <c r="A1" s="342" t="s">
        <v>805</v>
      </c>
      <c r="Q1" s="520"/>
      <c r="R1" s="520"/>
      <c r="S1" s="521"/>
      <c r="T1" s="522"/>
    </row>
    <row r="2" spans="1:20" x14ac:dyDescent="0.3">
      <c r="Q2" s="520"/>
      <c r="R2" s="520"/>
      <c r="S2" s="523"/>
      <c r="T2" s="520"/>
    </row>
    <row r="3" spans="1:20" ht="24.95" customHeight="1" x14ac:dyDescent="0.3">
      <c r="A3" s="3516" t="s">
        <v>0</v>
      </c>
      <c r="B3" s="3515" t="s">
        <v>6</v>
      </c>
      <c r="C3" s="3515"/>
      <c r="D3" s="3515"/>
      <c r="E3" s="3515" t="s">
        <v>2</v>
      </c>
      <c r="F3" s="3515"/>
      <c r="G3" s="3515"/>
      <c r="I3" s="3516" t="s">
        <v>0</v>
      </c>
      <c r="J3" s="3518" t="s">
        <v>28</v>
      </c>
      <c r="K3" s="3518"/>
      <c r="L3" s="3518"/>
      <c r="N3" s="379"/>
      <c r="Q3" s="520"/>
      <c r="R3" s="520"/>
      <c r="S3" s="520"/>
      <c r="T3" s="520"/>
    </row>
    <row r="4" spans="1:20" ht="24.95" customHeight="1" x14ac:dyDescent="0.3">
      <c r="A4" s="3517"/>
      <c r="B4" s="380" t="s">
        <v>28</v>
      </c>
      <c r="C4" s="775" t="s">
        <v>34</v>
      </c>
      <c r="D4" s="731" t="s">
        <v>62</v>
      </c>
      <c r="E4" s="380" t="s">
        <v>28</v>
      </c>
      <c r="F4" s="775" t="s">
        <v>34</v>
      </c>
      <c r="G4" s="731" t="s">
        <v>62</v>
      </c>
      <c r="I4" s="3517"/>
      <c r="J4" s="380" t="s">
        <v>28</v>
      </c>
      <c r="K4" s="775" t="s">
        <v>34</v>
      </c>
      <c r="L4" s="731" t="s">
        <v>62</v>
      </c>
      <c r="N4" s="524"/>
    </row>
    <row r="5" spans="1:20" ht="24.95" customHeight="1" thickBot="1" x14ac:dyDescent="0.35">
      <c r="A5" s="525" t="s">
        <v>28</v>
      </c>
      <c r="B5" s="367">
        <v>0</v>
      </c>
      <c r="C5" s="776">
        <v>0</v>
      </c>
      <c r="D5" s="732">
        <v>0</v>
      </c>
      <c r="E5" s="367">
        <v>341986</v>
      </c>
      <c r="F5" s="776">
        <v>30600</v>
      </c>
      <c r="G5" s="732">
        <v>311386</v>
      </c>
      <c r="I5" s="525" t="s">
        <v>28</v>
      </c>
      <c r="J5" s="367">
        <v>341986</v>
      </c>
      <c r="K5" s="776">
        <v>30600</v>
      </c>
      <c r="L5" s="732">
        <v>311386</v>
      </c>
      <c r="N5" s="379"/>
    </row>
    <row r="6" spans="1:20" s="342" customFormat="1" ht="24.95" customHeight="1" thickTop="1" x14ac:dyDescent="0.3">
      <c r="A6" s="369" t="s">
        <v>7</v>
      </c>
      <c r="B6" s="370">
        <v>0</v>
      </c>
      <c r="C6" s="777">
        <v>0</v>
      </c>
      <c r="D6" s="733">
        <v>0</v>
      </c>
      <c r="E6" s="370">
        <v>16060</v>
      </c>
      <c r="F6" s="777">
        <v>0</v>
      </c>
      <c r="G6" s="733">
        <v>16060</v>
      </c>
      <c r="I6" s="369" t="s">
        <v>7</v>
      </c>
      <c r="J6" s="370">
        <v>16060</v>
      </c>
      <c r="K6" s="777">
        <v>0</v>
      </c>
      <c r="L6" s="733">
        <v>16060</v>
      </c>
    </row>
    <row r="7" spans="1:20" ht="24.95" customHeight="1" x14ac:dyDescent="0.3">
      <c r="A7" s="398" t="s">
        <v>8</v>
      </c>
      <c r="B7" s="372">
        <v>0</v>
      </c>
      <c r="C7" s="778"/>
      <c r="D7" s="734"/>
      <c r="E7" s="373">
        <v>16060</v>
      </c>
      <c r="F7" s="778">
        <v>0</v>
      </c>
      <c r="G7" s="734">
        <v>16060</v>
      </c>
      <c r="I7" s="398" t="s">
        <v>8</v>
      </c>
      <c r="J7" s="372">
        <v>16060</v>
      </c>
      <c r="K7" s="778">
        <v>0</v>
      </c>
      <c r="L7" s="734">
        <v>16060</v>
      </c>
    </row>
    <row r="8" spans="1:20" ht="24.95" customHeight="1" x14ac:dyDescent="0.3">
      <c r="A8" s="398" t="s">
        <v>306</v>
      </c>
      <c r="B8" s="372">
        <v>0</v>
      </c>
      <c r="C8" s="778"/>
      <c r="D8" s="734"/>
      <c r="E8" s="372">
        <v>0</v>
      </c>
      <c r="F8" s="778">
        <v>0</v>
      </c>
      <c r="G8" s="734">
        <v>0</v>
      </c>
      <c r="I8" s="398" t="s">
        <v>306</v>
      </c>
      <c r="J8" s="372">
        <v>0</v>
      </c>
      <c r="K8" s="778">
        <v>0</v>
      </c>
      <c r="L8" s="734">
        <v>0</v>
      </c>
    </row>
    <row r="9" spans="1:20" ht="24.95" customHeight="1" x14ac:dyDescent="0.3">
      <c r="A9" s="372"/>
      <c r="B9" s="372"/>
      <c r="C9" s="778"/>
      <c r="D9" s="734"/>
      <c r="E9" s="372"/>
      <c r="F9" s="778"/>
      <c r="G9" s="734"/>
      <c r="I9" s="372"/>
      <c r="J9" s="372"/>
      <c r="K9" s="778"/>
      <c r="L9" s="734"/>
    </row>
    <row r="10" spans="1:20" s="342" customFormat="1" ht="24.95" customHeight="1" x14ac:dyDescent="0.3">
      <c r="A10" s="526" t="s">
        <v>9</v>
      </c>
      <c r="B10" s="375">
        <v>0</v>
      </c>
      <c r="C10" s="779">
        <v>0</v>
      </c>
      <c r="D10" s="735">
        <v>0</v>
      </c>
      <c r="E10" s="375">
        <v>325926</v>
      </c>
      <c r="F10" s="779">
        <v>30600</v>
      </c>
      <c r="G10" s="735">
        <v>295326</v>
      </c>
      <c r="I10" s="526" t="s">
        <v>9</v>
      </c>
      <c r="J10" s="375">
        <v>325926</v>
      </c>
      <c r="K10" s="779">
        <v>30600</v>
      </c>
      <c r="L10" s="735">
        <v>295326</v>
      </c>
      <c r="N10" s="379"/>
    </row>
    <row r="11" spans="1:20" ht="24.95" customHeight="1" x14ac:dyDescent="0.3">
      <c r="A11" s="819" t="s">
        <v>308</v>
      </c>
      <c r="B11" s="372">
        <v>0</v>
      </c>
      <c r="C11" s="778"/>
      <c r="D11" s="734"/>
      <c r="E11" s="372">
        <v>4314</v>
      </c>
      <c r="F11" s="778">
        <v>0</v>
      </c>
      <c r="G11" s="734">
        <v>4314</v>
      </c>
      <c r="I11" s="372" t="s">
        <v>308</v>
      </c>
      <c r="J11" s="372">
        <v>4314</v>
      </c>
      <c r="K11" s="778">
        <v>0</v>
      </c>
      <c r="L11" s="734">
        <v>4314</v>
      </c>
      <c r="N11" s="379"/>
    </row>
    <row r="12" spans="1:20" ht="24.95" customHeight="1" x14ac:dyDescent="0.3">
      <c r="A12" s="372" t="s">
        <v>309</v>
      </c>
      <c r="B12" s="372">
        <v>0</v>
      </c>
      <c r="C12" s="778"/>
      <c r="D12" s="734"/>
      <c r="E12" s="372">
        <v>0</v>
      </c>
      <c r="F12" s="778">
        <v>0</v>
      </c>
      <c r="G12" s="734">
        <v>0</v>
      </c>
      <c r="I12" s="372" t="s">
        <v>309</v>
      </c>
      <c r="J12" s="372">
        <v>0</v>
      </c>
      <c r="K12" s="778">
        <v>0</v>
      </c>
      <c r="L12" s="734">
        <v>0</v>
      </c>
    </row>
    <row r="13" spans="1:20" ht="24.95" customHeight="1" x14ac:dyDescent="0.3">
      <c r="A13" s="372" t="s">
        <v>310</v>
      </c>
      <c r="B13" s="372">
        <v>0</v>
      </c>
      <c r="C13" s="778"/>
      <c r="D13" s="734"/>
      <c r="E13" s="372">
        <v>0</v>
      </c>
      <c r="F13" s="778">
        <v>0</v>
      </c>
      <c r="G13" s="734">
        <v>0</v>
      </c>
      <c r="I13" s="372" t="s">
        <v>310</v>
      </c>
      <c r="J13" s="372">
        <v>0</v>
      </c>
      <c r="K13" s="778">
        <v>0</v>
      </c>
      <c r="L13" s="734">
        <v>0</v>
      </c>
      <c r="N13" s="379"/>
    </row>
    <row r="14" spans="1:20" ht="24.95" customHeight="1" x14ac:dyDescent="0.3">
      <c r="A14" s="372" t="s">
        <v>311</v>
      </c>
      <c r="B14" s="372">
        <v>0</v>
      </c>
      <c r="C14" s="778"/>
      <c r="D14" s="734"/>
      <c r="E14" s="372">
        <v>0</v>
      </c>
      <c r="F14" s="778">
        <v>0</v>
      </c>
      <c r="G14" s="734">
        <v>0</v>
      </c>
      <c r="I14" s="372" t="s">
        <v>311</v>
      </c>
      <c r="J14" s="373">
        <v>0</v>
      </c>
      <c r="K14" s="1453">
        <v>0</v>
      </c>
      <c r="L14" s="741">
        <v>0</v>
      </c>
    </row>
    <row r="15" spans="1:20" ht="24.95" customHeight="1" x14ac:dyDescent="0.3">
      <c r="A15" s="372" t="s">
        <v>312</v>
      </c>
      <c r="B15" s="372">
        <v>0</v>
      </c>
      <c r="C15" s="778"/>
      <c r="D15" s="734"/>
      <c r="E15" s="372">
        <v>4470</v>
      </c>
      <c r="F15" s="778">
        <v>0</v>
      </c>
      <c r="G15" s="734">
        <v>4470</v>
      </c>
      <c r="I15" s="372" t="s">
        <v>312</v>
      </c>
      <c r="J15" s="372">
        <v>4470</v>
      </c>
      <c r="K15" s="778">
        <v>0</v>
      </c>
      <c r="L15" s="734">
        <v>4470</v>
      </c>
      <c r="O15" s="3521"/>
      <c r="P15" s="3521"/>
      <c r="Q15" s="3521"/>
      <c r="R15" s="3521"/>
      <c r="S15" s="3521"/>
      <c r="T15" s="3521"/>
    </row>
    <row r="16" spans="1:20" ht="24.95" customHeight="1" x14ac:dyDescent="0.3">
      <c r="A16" s="372" t="s">
        <v>313</v>
      </c>
      <c r="B16" s="372">
        <v>0</v>
      </c>
      <c r="C16" s="778"/>
      <c r="D16" s="734"/>
      <c r="E16" s="372">
        <v>30600</v>
      </c>
      <c r="F16" s="778">
        <v>30600</v>
      </c>
      <c r="G16" s="734">
        <v>0</v>
      </c>
      <c r="H16" s="339">
        <v>0</v>
      </c>
      <c r="I16" s="372" t="s">
        <v>313</v>
      </c>
      <c r="J16" s="372">
        <v>30600</v>
      </c>
      <c r="K16" s="778">
        <v>30600</v>
      </c>
      <c r="L16" s="734">
        <v>0</v>
      </c>
    </row>
    <row r="17" spans="1:16" ht="24.95" customHeight="1" x14ac:dyDescent="0.3">
      <c r="A17" s="372" t="s">
        <v>314</v>
      </c>
      <c r="B17" s="372">
        <v>0</v>
      </c>
      <c r="C17" s="778"/>
      <c r="D17" s="734"/>
      <c r="E17" s="372">
        <v>286542</v>
      </c>
      <c r="F17" s="778">
        <v>0</v>
      </c>
      <c r="G17" s="734">
        <v>286542</v>
      </c>
      <c r="I17" s="372" t="s">
        <v>314</v>
      </c>
      <c r="J17" s="372">
        <v>286542</v>
      </c>
      <c r="K17" s="778">
        <v>0</v>
      </c>
      <c r="L17" s="734">
        <v>286542</v>
      </c>
    </row>
    <row r="18" spans="1:16" ht="24.95" customHeight="1" x14ac:dyDescent="0.3">
      <c r="A18" s="372" t="s">
        <v>315</v>
      </c>
      <c r="B18" s="372">
        <v>0</v>
      </c>
      <c r="C18" s="778"/>
      <c r="D18" s="734"/>
      <c r="E18" s="372">
        <v>0</v>
      </c>
      <c r="F18" s="778">
        <v>0</v>
      </c>
      <c r="G18" s="734">
        <v>0</v>
      </c>
      <c r="I18" s="372" t="s">
        <v>315</v>
      </c>
      <c r="J18" s="372">
        <v>0</v>
      </c>
      <c r="K18" s="778">
        <v>0</v>
      </c>
      <c r="L18" s="734">
        <v>0</v>
      </c>
    </row>
    <row r="19" spans="1:16" ht="24.95" customHeight="1" x14ac:dyDescent="0.3">
      <c r="A19" s="372" t="s">
        <v>390</v>
      </c>
      <c r="B19" s="372">
        <v>0</v>
      </c>
      <c r="C19" s="778"/>
      <c r="D19" s="734"/>
      <c r="E19" s="372">
        <v>0</v>
      </c>
      <c r="F19" s="778">
        <v>0</v>
      </c>
      <c r="G19" s="734">
        <v>0</v>
      </c>
      <c r="I19" s="372" t="s">
        <v>390</v>
      </c>
      <c r="J19" s="372">
        <v>0</v>
      </c>
      <c r="K19" s="778">
        <v>0</v>
      </c>
      <c r="L19" s="734">
        <v>0</v>
      </c>
    </row>
    <row r="20" spans="1:16" s="342" customFormat="1" ht="24.95" customHeight="1" x14ac:dyDescent="0.3">
      <c r="A20" s="526" t="s">
        <v>12</v>
      </c>
      <c r="B20" s="375">
        <v>0</v>
      </c>
      <c r="C20" s="779">
        <v>0</v>
      </c>
      <c r="D20" s="735">
        <v>0</v>
      </c>
      <c r="E20" s="375">
        <v>0</v>
      </c>
      <c r="F20" s="779">
        <v>0</v>
      </c>
      <c r="G20" s="735">
        <v>0</v>
      </c>
      <c r="I20" s="526" t="s">
        <v>12</v>
      </c>
      <c r="J20" s="375">
        <v>0</v>
      </c>
      <c r="K20" s="779">
        <v>0</v>
      </c>
      <c r="L20" s="735">
        <v>0</v>
      </c>
    </row>
    <row r="21" spans="1:16" ht="24.95" customHeight="1" x14ac:dyDescent="0.3">
      <c r="A21" s="372" t="s">
        <v>391</v>
      </c>
      <c r="B21" s="372">
        <v>0</v>
      </c>
      <c r="C21" s="778"/>
      <c r="D21" s="734"/>
      <c r="E21" s="372">
        <v>0</v>
      </c>
      <c r="F21" s="778">
        <v>0</v>
      </c>
      <c r="G21" s="734">
        <v>0</v>
      </c>
      <c r="I21" s="372" t="s">
        <v>391</v>
      </c>
      <c r="J21" s="372">
        <v>0</v>
      </c>
      <c r="K21" s="778">
        <v>0</v>
      </c>
      <c r="L21" s="734">
        <v>0</v>
      </c>
    </row>
    <row r="22" spans="1:16" ht="24.95" customHeight="1" x14ac:dyDescent="0.3">
      <c r="A22" s="372" t="s">
        <v>392</v>
      </c>
      <c r="B22" s="372">
        <v>0</v>
      </c>
      <c r="C22" s="778"/>
      <c r="D22" s="734"/>
      <c r="E22" s="372">
        <v>0</v>
      </c>
      <c r="F22" s="778">
        <v>0</v>
      </c>
      <c r="G22" s="734">
        <v>0</v>
      </c>
      <c r="I22" s="372" t="s">
        <v>392</v>
      </c>
      <c r="J22" s="372">
        <v>0</v>
      </c>
      <c r="K22" s="778">
        <v>0</v>
      </c>
      <c r="L22" s="734">
        <v>0</v>
      </c>
    </row>
    <row r="23" spans="1:16" ht="24.95" customHeight="1" x14ac:dyDescent="0.35">
      <c r="A23" s="372" t="s">
        <v>393</v>
      </c>
      <c r="B23" s="372">
        <v>0</v>
      </c>
      <c r="C23" s="778"/>
      <c r="D23" s="734"/>
      <c r="E23" s="372">
        <v>0</v>
      </c>
      <c r="F23" s="778">
        <v>0</v>
      </c>
      <c r="G23" s="734">
        <v>0</v>
      </c>
      <c r="I23" s="372" t="s">
        <v>393</v>
      </c>
      <c r="J23" s="372">
        <v>0</v>
      </c>
      <c r="K23" s="778">
        <v>0</v>
      </c>
      <c r="L23" s="734">
        <v>0</v>
      </c>
      <c r="P23" s="2850"/>
    </row>
    <row r="24" spans="1:16" ht="24.95" customHeight="1" x14ac:dyDescent="0.3">
      <c r="A24" s="372" t="s">
        <v>394</v>
      </c>
      <c r="B24" s="372">
        <v>0</v>
      </c>
      <c r="C24" s="778"/>
      <c r="D24" s="734"/>
      <c r="E24" s="372">
        <v>0</v>
      </c>
      <c r="F24" s="778">
        <v>0</v>
      </c>
      <c r="G24" s="734">
        <v>0</v>
      </c>
      <c r="I24" s="372" t="s">
        <v>394</v>
      </c>
      <c r="J24" s="372">
        <v>0</v>
      </c>
      <c r="K24" s="778">
        <v>0</v>
      </c>
      <c r="L24" s="734">
        <v>0</v>
      </c>
    </row>
    <row r="25" spans="1:16" ht="24.95" customHeight="1" x14ac:dyDescent="0.3">
      <c r="A25" s="377"/>
      <c r="B25" s="377"/>
      <c r="C25" s="780"/>
      <c r="D25" s="736"/>
      <c r="E25" s="377"/>
      <c r="F25" s="780"/>
      <c r="G25" s="736"/>
      <c r="I25" s="377"/>
      <c r="J25" s="377"/>
      <c r="K25" s="780"/>
      <c r="L25" s="736"/>
      <c r="O25" s="342"/>
      <c r="P25" s="342"/>
    </row>
    <row r="37" spans="1:7" x14ac:dyDescent="0.3">
      <c r="A37" s="3516" t="s">
        <v>0</v>
      </c>
      <c r="B37" s="3515" t="s">
        <v>1</v>
      </c>
      <c r="C37" s="3515"/>
      <c r="D37" s="3515"/>
      <c r="E37" s="3515" t="s">
        <v>3</v>
      </c>
      <c r="F37" s="3515"/>
      <c r="G37" s="3515"/>
    </row>
    <row r="38" spans="1:7" x14ac:dyDescent="0.3">
      <c r="A38" s="3517"/>
      <c r="B38" s="380" t="s">
        <v>28</v>
      </c>
      <c r="C38" s="775" t="s">
        <v>34</v>
      </c>
      <c r="D38" s="731" t="s">
        <v>62</v>
      </c>
      <c r="E38" s="380" t="s">
        <v>28</v>
      </c>
      <c r="F38" s="775" t="s">
        <v>34</v>
      </c>
      <c r="G38" s="731" t="s">
        <v>62</v>
      </c>
    </row>
    <row r="39" spans="1:7" ht="19.5" thickBot="1" x14ac:dyDescent="0.35">
      <c r="A39" s="525" t="s">
        <v>28</v>
      </c>
      <c r="B39" s="367">
        <v>0</v>
      </c>
      <c r="C39" s="776">
        <v>0</v>
      </c>
      <c r="D39" s="737">
        <v>0</v>
      </c>
      <c r="E39" s="367">
        <v>0</v>
      </c>
      <c r="F39" s="776">
        <v>0</v>
      </c>
      <c r="G39" s="732">
        <v>0</v>
      </c>
    </row>
    <row r="40" spans="1:7" ht="19.5" thickTop="1" x14ac:dyDescent="0.3">
      <c r="A40" s="369" t="s">
        <v>7</v>
      </c>
      <c r="B40" s="370">
        <v>0</v>
      </c>
      <c r="C40" s="777">
        <v>0</v>
      </c>
      <c r="D40" s="733">
        <v>0</v>
      </c>
      <c r="E40" s="370">
        <v>0</v>
      </c>
      <c r="F40" s="777">
        <v>0</v>
      </c>
      <c r="G40" s="733">
        <v>0</v>
      </c>
    </row>
    <row r="41" spans="1:7" x14ac:dyDescent="0.3">
      <c r="A41" s="398" t="s">
        <v>8</v>
      </c>
      <c r="B41" s="372">
        <v>0</v>
      </c>
      <c r="C41" s="778"/>
      <c r="D41" s="734"/>
      <c r="E41" s="372">
        <v>0</v>
      </c>
      <c r="F41" s="778"/>
      <c r="G41" s="734"/>
    </row>
    <row r="42" spans="1:7" x14ac:dyDescent="0.3">
      <c r="A42" s="398" t="s">
        <v>306</v>
      </c>
      <c r="B42" s="372">
        <v>0</v>
      </c>
      <c r="C42" s="778"/>
      <c r="D42" s="734"/>
      <c r="E42" s="372">
        <v>0</v>
      </c>
      <c r="F42" s="778"/>
      <c r="G42" s="734"/>
    </row>
    <row r="43" spans="1:7" x14ac:dyDescent="0.3">
      <c r="A43" s="372"/>
      <c r="B43" s="372"/>
      <c r="C43" s="778"/>
      <c r="D43" s="734"/>
      <c r="E43" s="372"/>
      <c r="F43" s="778"/>
      <c r="G43" s="734"/>
    </row>
    <row r="44" spans="1:7" x14ac:dyDescent="0.3">
      <c r="A44" s="526" t="s">
        <v>9</v>
      </c>
      <c r="B44" s="375">
        <v>0</v>
      </c>
      <c r="C44" s="779">
        <v>0</v>
      </c>
      <c r="D44" s="735">
        <v>0</v>
      </c>
      <c r="E44" s="375">
        <v>0</v>
      </c>
      <c r="F44" s="779">
        <v>0</v>
      </c>
      <c r="G44" s="735">
        <v>0</v>
      </c>
    </row>
    <row r="45" spans="1:7" x14ac:dyDescent="0.3">
      <c r="A45" s="372" t="s">
        <v>308</v>
      </c>
      <c r="B45" s="372">
        <v>0</v>
      </c>
      <c r="C45" s="778"/>
      <c r="D45" s="734"/>
      <c r="E45" s="372">
        <v>0</v>
      </c>
      <c r="F45" s="778"/>
      <c r="G45" s="734"/>
    </row>
    <row r="46" spans="1:7" x14ac:dyDescent="0.3">
      <c r="A46" s="372" t="s">
        <v>309</v>
      </c>
      <c r="B46" s="372">
        <v>0</v>
      </c>
      <c r="C46" s="778"/>
      <c r="D46" s="734"/>
      <c r="E46" s="372">
        <v>0</v>
      </c>
      <c r="F46" s="778"/>
      <c r="G46" s="734"/>
    </row>
    <row r="47" spans="1:7" x14ac:dyDescent="0.3">
      <c r="A47" s="372" t="s">
        <v>310</v>
      </c>
      <c r="B47" s="372">
        <v>0</v>
      </c>
      <c r="C47" s="778"/>
      <c r="D47" s="734"/>
      <c r="E47" s="372">
        <v>0</v>
      </c>
      <c r="F47" s="778"/>
      <c r="G47" s="734"/>
    </row>
    <row r="48" spans="1:7" x14ac:dyDescent="0.3">
      <c r="A48" s="372" t="s">
        <v>311</v>
      </c>
      <c r="B48" s="372">
        <v>0</v>
      </c>
      <c r="C48" s="778"/>
      <c r="D48" s="734"/>
      <c r="E48" s="372">
        <v>0</v>
      </c>
      <c r="F48" s="778"/>
      <c r="G48" s="734"/>
    </row>
    <row r="49" spans="1:7" x14ac:dyDescent="0.3">
      <c r="A49" s="372" t="s">
        <v>312</v>
      </c>
      <c r="B49" s="372">
        <v>0</v>
      </c>
      <c r="C49" s="778"/>
      <c r="D49" s="734"/>
      <c r="E49" s="372">
        <v>0</v>
      </c>
      <c r="F49" s="778"/>
      <c r="G49" s="734"/>
    </row>
    <row r="50" spans="1:7" x14ac:dyDescent="0.3">
      <c r="A50" s="372" t="s">
        <v>313</v>
      </c>
      <c r="B50" s="372">
        <v>0</v>
      </c>
      <c r="C50" s="778"/>
      <c r="D50" s="734"/>
      <c r="E50" s="372">
        <v>0</v>
      </c>
      <c r="F50" s="778"/>
      <c r="G50" s="734"/>
    </row>
    <row r="51" spans="1:7" x14ac:dyDescent="0.3">
      <c r="A51" s="372" t="s">
        <v>314</v>
      </c>
      <c r="B51" s="372">
        <v>0</v>
      </c>
      <c r="C51" s="778"/>
      <c r="D51" s="734"/>
      <c r="E51" s="372">
        <v>0</v>
      </c>
      <c r="F51" s="778"/>
      <c r="G51" s="734"/>
    </row>
    <row r="52" spans="1:7" x14ac:dyDescent="0.3">
      <c r="A52" s="372" t="s">
        <v>315</v>
      </c>
      <c r="B52" s="372">
        <v>0</v>
      </c>
      <c r="C52" s="778"/>
      <c r="D52" s="734"/>
      <c r="E52" s="372">
        <v>0</v>
      </c>
      <c r="F52" s="778"/>
      <c r="G52" s="734"/>
    </row>
    <row r="53" spans="1:7" x14ac:dyDescent="0.3">
      <c r="A53" s="372" t="s">
        <v>390</v>
      </c>
      <c r="B53" s="372">
        <v>0</v>
      </c>
      <c r="C53" s="778"/>
      <c r="D53" s="734"/>
      <c r="E53" s="372"/>
      <c r="F53" s="778"/>
      <c r="G53" s="734"/>
    </row>
    <row r="54" spans="1:7" x14ac:dyDescent="0.3">
      <c r="A54" s="526" t="s">
        <v>12</v>
      </c>
      <c r="B54" s="375">
        <v>0</v>
      </c>
      <c r="C54" s="779">
        <v>0</v>
      </c>
      <c r="D54" s="735">
        <v>0</v>
      </c>
      <c r="E54" s="375">
        <v>0</v>
      </c>
      <c r="F54" s="779">
        <v>0</v>
      </c>
      <c r="G54" s="735">
        <v>0</v>
      </c>
    </row>
    <row r="55" spans="1:7" x14ac:dyDescent="0.3">
      <c r="A55" s="372" t="s">
        <v>391</v>
      </c>
      <c r="B55" s="372">
        <v>0</v>
      </c>
      <c r="C55" s="778"/>
      <c r="D55" s="734"/>
      <c r="E55" s="372">
        <v>0</v>
      </c>
      <c r="F55" s="778"/>
      <c r="G55" s="734"/>
    </row>
    <row r="56" spans="1:7" x14ac:dyDescent="0.3">
      <c r="A56" s="372" t="s">
        <v>392</v>
      </c>
      <c r="B56" s="372">
        <v>0</v>
      </c>
      <c r="C56" s="778"/>
      <c r="D56" s="734"/>
      <c r="E56" s="372">
        <v>0</v>
      </c>
      <c r="F56" s="778"/>
      <c r="G56" s="734"/>
    </row>
    <row r="57" spans="1:7" x14ac:dyDescent="0.3">
      <c r="A57" s="372" t="s">
        <v>393</v>
      </c>
      <c r="B57" s="372">
        <v>0</v>
      </c>
      <c r="C57" s="778"/>
      <c r="D57" s="734"/>
      <c r="E57" s="372">
        <v>0</v>
      </c>
      <c r="F57" s="778"/>
      <c r="G57" s="734"/>
    </row>
    <row r="58" spans="1:7" x14ac:dyDescent="0.3">
      <c r="A58" s="372" t="s">
        <v>394</v>
      </c>
      <c r="B58" s="372">
        <v>0</v>
      </c>
      <c r="C58" s="778"/>
      <c r="D58" s="734"/>
      <c r="E58" s="372">
        <v>0</v>
      </c>
      <c r="F58" s="778"/>
      <c r="G58" s="734"/>
    </row>
    <row r="59" spans="1:7" x14ac:dyDescent="0.3">
      <c r="A59" s="377"/>
      <c r="B59" s="377"/>
      <c r="C59" s="780"/>
      <c r="D59" s="736"/>
      <c r="E59" s="377"/>
      <c r="F59" s="780"/>
      <c r="G59" s="736"/>
    </row>
    <row r="74" spans="1:7" x14ac:dyDescent="0.3">
      <c r="A74" s="3516" t="s">
        <v>0</v>
      </c>
      <c r="B74" s="3515" t="s">
        <v>24</v>
      </c>
      <c r="C74" s="3515"/>
      <c r="D74" s="3515"/>
      <c r="E74" s="3515" t="s">
        <v>23</v>
      </c>
      <c r="F74" s="3515"/>
      <c r="G74" s="3515"/>
    </row>
    <row r="75" spans="1:7" x14ac:dyDescent="0.3">
      <c r="A75" s="3517"/>
      <c r="B75" s="380" t="s">
        <v>28</v>
      </c>
      <c r="C75" s="775" t="s">
        <v>34</v>
      </c>
      <c r="D75" s="731" t="s">
        <v>62</v>
      </c>
      <c r="E75" s="380" t="s">
        <v>28</v>
      </c>
      <c r="F75" s="775" t="s">
        <v>34</v>
      </c>
      <c r="G75" s="731" t="s">
        <v>62</v>
      </c>
    </row>
    <row r="76" spans="1:7" ht="19.5" thickBot="1" x14ac:dyDescent="0.35">
      <c r="A76" s="525" t="s">
        <v>28</v>
      </c>
      <c r="B76" s="367">
        <v>0</v>
      </c>
      <c r="C76" s="776">
        <v>0</v>
      </c>
      <c r="D76" s="732">
        <v>0</v>
      </c>
      <c r="E76" s="367">
        <v>0</v>
      </c>
      <c r="F76" s="776">
        <v>0</v>
      </c>
      <c r="G76" s="732">
        <v>0</v>
      </c>
    </row>
    <row r="77" spans="1:7" ht="19.5" thickTop="1" x14ac:dyDescent="0.3">
      <c r="A77" s="369" t="s">
        <v>7</v>
      </c>
      <c r="B77" s="370">
        <v>0</v>
      </c>
      <c r="C77" s="777">
        <v>0</v>
      </c>
      <c r="D77" s="733">
        <v>0</v>
      </c>
      <c r="E77" s="370">
        <v>0</v>
      </c>
      <c r="F77" s="777">
        <v>0</v>
      </c>
      <c r="G77" s="733">
        <v>0</v>
      </c>
    </row>
    <row r="78" spans="1:7" x14ac:dyDescent="0.3">
      <c r="A78" s="398" t="s">
        <v>8</v>
      </c>
      <c r="B78" s="372">
        <v>0</v>
      </c>
      <c r="C78" s="778"/>
      <c r="D78" s="734"/>
      <c r="E78" s="372">
        <v>0</v>
      </c>
      <c r="F78" s="778"/>
      <c r="G78" s="734"/>
    </row>
    <row r="79" spans="1:7" x14ac:dyDescent="0.3">
      <c r="A79" s="398" t="s">
        <v>306</v>
      </c>
      <c r="B79" s="372">
        <v>0</v>
      </c>
      <c r="C79" s="778"/>
      <c r="D79" s="734"/>
      <c r="E79" s="372">
        <v>0</v>
      </c>
      <c r="F79" s="778"/>
      <c r="G79" s="734"/>
    </row>
    <row r="80" spans="1:7" x14ac:dyDescent="0.3">
      <c r="A80" s="372"/>
      <c r="B80" s="372"/>
      <c r="C80" s="778"/>
      <c r="D80" s="734"/>
      <c r="E80" s="372"/>
      <c r="F80" s="778"/>
      <c r="G80" s="734"/>
    </row>
    <row r="81" spans="1:7" x14ac:dyDescent="0.3">
      <c r="A81" s="526" t="s">
        <v>9</v>
      </c>
      <c r="B81" s="375">
        <v>0</v>
      </c>
      <c r="C81" s="779">
        <v>0</v>
      </c>
      <c r="D81" s="735">
        <v>0</v>
      </c>
      <c r="E81" s="375">
        <v>0</v>
      </c>
      <c r="F81" s="779">
        <v>0</v>
      </c>
      <c r="G81" s="735">
        <v>0</v>
      </c>
    </row>
    <row r="82" spans="1:7" x14ac:dyDescent="0.3">
      <c r="A82" s="372" t="s">
        <v>308</v>
      </c>
      <c r="B82" s="372">
        <v>0</v>
      </c>
      <c r="C82" s="778"/>
      <c r="D82" s="734"/>
      <c r="E82" s="372">
        <v>0</v>
      </c>
      <c r="F82" s="778"/>
      <c r="G82" s="734"/>
    </row>
    <row r="83" spans="1:7" x14ac:dyDescent="0.3">
      <c r="A83" s="372" t="s">
        <v>309</v>
      </c>
      <c r="B83" s="372">
        <v>0</v>
      </c>
      <c r="C83" s="778"/>
      <c r="D83" s="734"/>
      <c r="E83" s="372">
        <v>0</v>
      </c>
      <c r="F83" s="778"/>
      <c r="G83" s="734"/>
    </row>
    <row r="84" spans="1:7" x14ac:dyDescent="0.3">
      <c r="A84" s="372" t="s">
        <v>310</v>
      </c>
      <c r="B84" s="372">
        <v>0</v>
      </c>
      <c r="C84" s="778"/>
      <c r="D84" s="734"/>
      <c r="E84" s="372">
        <v>0</v>
      </c>
      <c r="F84" s="778"/>
      <c r="G84" s="734"/>
    </row>
    <row r="85" spans="1:7" x14ac:dyDescent="0.3">
      <c r="A85" s="372" t="s">
        <v>311</v>
      </c>
      <c r="B85" s="372">
        <v>0</v>
      </c>
      <c r="C85" s="778"/>
      <c r="D85" s="734"/>
      <c r="E85" s="372">
        <v>0</v>
      </c>
      <c r="F85" s="778"/>
      <c r="G85" s="734"/>
    </row>
    <row r="86" spans="1:7" x14ac:dyDescent="0.3">
      <c r="A86" s="372" t="s">
        <v>312</v>
      </c>
      <c r="B86" s="372">
        <v>0</v>
      </c>
      <c r="C86" s="778"/>
      <c r="D86" s="734"/>
      <c r="E86" s="372">
        <v>0</v>
      </c>
      <c r="F86" s="778"/>
      <c r="G86" s="734"/>
    </row>
    <row r="87" spans="1:7" x14ac:dyDescent="0.3">
      <c r="A87" s="372" t="s">
        <v>313</v>
      </c>
      <c r="B87" s="372">
        <v>0</v>
      </c>
      <c r="C87" s="778"/>
      <c r="D87" s="734"/>
      <c r="E87" s="372">
        <v>0</v>
      </c>
      <c r="F87" s="778"/>
      <c r="G87" s="734"/>
    </row>
    <row r="88" spans="1:7" x14ac:dyDescent="0.3">
      <c r="A88" s="372" t="s">
        <v>314</v>
      </c>
      <c r="B88" s="372"/>
      <c r="C88" s="778"/>
      <c r="D88" s="734"/>
      <c r="E88" s="372"/>
      <c r="F88" s="778"/>
      <c r="G88" s="734"/>
    </row>
    <row r="89" spans="1:7" x14ac:dyDescent="0.3">
      <c r="A89" s="372" t="s">
        <v>315</v>
      </c>
      <c r="B89" s="372"/>
      <c r="C89" s="778"/>
      <c r="D89" s="734"/>
      <c r="E89" s="372"/>
      <c r="F89" s="778"/>
      <c r="G89" s="734"/>
    </row>
    <row r="90" spans="1:7" x14ac:dyDescent="0.3">
      <c r="A90" s="372" t="s">
        <v>390</v>
      </c>
      <c r="B90" s="372"/>
      <c r="C90" s="778"/>
      <c r="D90" s="734"/>
      <c r="E90" s="372"/>
      <c r="F90" s="778"/>
      <c r="G90" s="734"/>
    </row>
    <row r="91" spans="1:7" x14ac:dyDescent="0.3">
      <c r="A91" s="526" t="s">
        <v>12</v>
      </c>
      <c r="B91" s="375">
        <v>0</v>
      </c>
      <c r="C91" s="779">
        <v>0</v>
      </c>
      <c r="D91" s="735">
        <v>0</v>
      </c>
      <c r="E91" s="375">
        <v>0</v>
      </c>
      <c r="F91" s="779">
        <v>0</v>
      </c>
      <c r="G91" s="735">
        <v>0</v>
      </c>
    </row>
    <row r="92" spans="1:7" x14ac:dyDescent="0.3">
      <c r="A92" s="372" t="s">
        <v>391</v>
      </c>
      <c r="B92" s="372">
        <v>0</v>
      </c>
      <c r="C92" s="778"/>
      <c r="D92" s="734"/>
      <c r="E92" s="372">
        <v>0</v>
      </c>
      <c r="F92" s="778"/>
      <c r="G92" s="734"/>
    </row>
    <row r="93" spans="1:7" x14ac:dyDescent="0.3">
      <c r="A93" s="372" t="s">
        <v>392</v>
      </c>
      <c r="B93" s="372">
        <v>0</v>
      </c>
      <c r="C93" s="778"/>
      <c r="D93" s="734"/>
      <c r="E93" s="372">
        <v>0</v>
      </c>
      <c r="F93" s="778"/>
      <c r="G93" s="734"/>
    </row>
    <row r="94" spans="1:7" x14ac:dyDescent="0.3">
      <c r="A94" s="372" t="s">
        <v>393</v>
      </c>
      <c r="B94" s="372">
        <v>0</v>
      </c>
      <c r="C94" s="778"/>
      <c r="D94" s="734"/>
      <c r="E94" s="372">
        <v>0</v>
      </c>
      <c r="F94" s="778"/>
      <c r="G94" s="734"/>
    </row>
    <row r="95" spans="1:7" x14ac:dyDescent="0.3">
      <c r="A95" s="372" t="s">
        <v>394</v>
      </c>
      <c r="B95" s="372">
        <v>0</v>
      </c>
      <c r="C95" s="778"/>
      <c r="D95" s="734"/>
      <c r="E95" s="372">
        <v>0</v>
      </c>
      <c r="F95" s="778"/>
      <c r="G95" s="734"/>
    </row>
    <row r="96" spans="1:7" x14ac:dyDescent="0.3">
      <c r="A96" s="377"/>
      <c r="B96" s="377"/>
      <c r="C96" s="780"/>
      <c r="D96" s="736"/>
      <c r="E96" s="377"/>
      <c r="F96" s="780"/>
      <c r="G96" s="736"/>
    </row>
    <row r="111" spans="1:7" x14ac:dyDescent="0.3">
      <c r="A111" s="3516" t="s">
        <v>0</v>
      </c>
      <c r="B111" s="3515" t="s">
        <v>4</v>
      </c>
      <c r="C111" s="3515"/>
      <c r="D111" s="3515"/>
      <c r="E111" s="3515" t="s">
        <v>20</v>
      </c>
      <c r="F111" s="3515"/>
      <c r="G111" s="3515"/>
    </row>
    <row r="112" spans="1:7" x14ac:dyDescent="0.3">
      <c r="A112" s="3517"/>
      <c r="B112" s="380" t="s">
        <v>28</v>
      </c>
      <c r="C112" s="775" t="s">
        <v>34</v>
      </c>
      <c r="D112" s="731" t="s">
        <v>62</v>
      </c>
      <c r="E112" s="380" t="s">
        <v>28</v>
      </c>
      <c r="F112" s="775" t="s">
        <v>34</v>
      </c>
      <c r="G112" s="731" t="s">
        <v>62</v>
      </c>
    </row>
    <row r="113" spans="1:7" ht="19.5" thickBot="1" x14ac:dyDescent="0.35">
      <c r="A113" s="525" t="s">
        <v>28</v>
      </c>
      <c r="B113" s="367">
        <v>0</v>
      </c>
      <c r="C113" s="776">
        <v>0</v>
      </c>
      <c r="D113" s="732">
        <v>0</v>
      </c>
      <c r="E113" s="367">
        <v>0</v>
      </c>
      <c r="F113" s="776">
        <v>0</v>
      </c>
      <c r="G113" s="732">
        <v>0</v>
      </c>
    </row>
    <row r="114" spans="1:7" ht="19.5" thickTop="1" x14ac:dyDescent="0.3">
      <c r="A114" s="369" t="s">
        <v>7</v>
      </c>
      <c r="B114" s="370">
        <v>0</v>
      </c>
      <c r="C114" s="777">
        <v>0</v>
      </c>
      <c r="D114" s="733">
        <v>0</v>
      </c>
      <c r="E114" s="370">
        <v>0</v>
      </c>
      <c r="F114" s="777">
        <v>0</v>
      </c>
      <c r="G114" s="733">
        <v>0</v>
      </c>
    </row>
    <row r="115" spans="1:7" x14ac:dyDescent="0.3">
      <c r="A115" s="398" t="s">
        <v>8</v>
      </c>
      <c r="B115" s="372">
        <v>0</v>
      </c>
      <c r="C115" s="778"/>
      <c r="D115" s="734"/>
      <c r="E115" s="372">
        <v>0</v>
      </c>
      <c r="F115" s="778"/>
      <c r="G115" s="734"/>
    </row>
    <row r="116" spans="1:7" x14ac:dyDescent="0.3">
      <c r="A116" s="398" t="s">
        <v>306</v>
      </c>
      <c r="B116" s="372">
        <v>0</v>
      </c>
      <c r="C116" s="778"/>
      <c r="D116" s="734"/>
      <c r="E116" s="372">
        <v>0</v>
      </c>
      <c r="F116" s="778"/>
      <c r="G116" s="734"/>
    </row>
    <row r="117" spans="1:7" x14ac:dyDescent="0.3">
      <c r="A117" s="372"/>
      <c r="B117" s="372"/>
      <c r="C117" s="778"/>
      <c r="D117" s="734"/>
      <c r="E117" s="372"/>
      <c r="F117" s="778"/>
      <c r="G117" s="734"/>
    </row>
    <row r="118" spans="1:7" x14ac:dyDescent="0.3">
      <c r="A118" s="526" t="s">
        <v>9</v>
      </c>
      <c r="B118" s="375">
        <v>0</v>
      </c>
      <c r="C118" s="779">
        <v>0</v>
      </c>
      <c r="D118" s="735">
        <v>0</v>
      </c>
      <c r="E118" s="375">
        <v>0</v>
      </c>
      <c r="F118" s="779">
        <v>0</v>
      </c>
      <c r="G118" s="735">
        <v>0</v>
      </c>
    </row>
    <row r="119" spans="1:7" s="379" customFormat="1" x14ac:dyDescent="0.3">
      <c r="A119" s="373" t="s">
        <v>308</v>
      </c>
      <c r="B119" s="373">
        <v>0</v>
      </c>
      <c r="C119" s="1453"/>
      <c r="D119" s="741"/>
      <c r="E119" s="373">
        <v>0</v>
      </c>
      <c r="F119" s="1453"/>
      <c r="G119" s="741"/>
    </row>
    <row r="120" spans="1:7" x14ac:dyDescent="0.3">
      <c r="A120" s="372" t="s">
        <v>309</v>
      </c>
      <c r="B120" s="372">
        <v>0</v>
      </c>
      <c r="C120" s="778"/>
      <c r="D120" s="734"/>
      <c r="E120" s="372">
        <v>0</v>
      </c>
      <c r="F120" s="778"/>
      <c r="G120" s="734"/>
    </row>
    <row r="121" spans="1:7" x14ac:dyDescent="0.3">
      <c r="A121" s="372" t="s">
        <v>310</v>
      </c>
      <c r="B121" s="372">
        <v>0</v>
      </c>
      <c r="C121" s="778"/>
      <c r="D121" s="734"/>
      <c r="E121" s="372">
        <v>0</v>
      </c>
      <c r="F121" s="778"/>
      <c r="G121" s="734"/>
    </row>
    <row r="122" spans="1:7" x14ac:dyDescent="0.3">
      <c r="A122" s="372" t="s">
        <v>311</v>
      </c>
      <c r="B122" s="372">
        <v>0</v>
      </c>
      <c r="C122" s="778"/>
      <c r="D122" s="734"/>
      <c r="E122" s="372">
        <v>0</v>
      </c>
      <c r="F122" s="778"/>
      <c r="G122" s="734"/>
    </row>
    <row r="123" spans="1:7" x14ac:dyDescent="0.3">
      <c r="A123" s="372" t="s">
        <v>312</v>
      </c>
      <c r="B123" s="372">
        <v>0</v>
      </c>
      <c r="C123" s="778"/>
      <c r="D123" s="734"/>
      <c r="E123" s="372">
        <v>0</v>
      </c>
      <c r="F123" s="778"/>
      <c r="G123" s="734"/>
    </row>
    <row r="124" spans="1:7" x14ac:dyDescent="0.3">
      <c r="A124" s="372" t="s">
        <v>313</v>
      </c>
      <c r="B124" s="372">
        <v>0</v>
      </c>
      <c r="C124" s="778"/>
      <c r="D124" s="734"/>
      <c r="E124" s="372">
        <v>0</v>
      </c>
      <c r="F124" s="778"/>
      <c r="G124" s="734"/>
    </row>
    <row r="125" spans="1:7" x14ac:dyDescent="0.3">
      <c r="A125" s="372" t="s">
        <v>314</v>
      </c>
      <c r="B125" s="372"/>
      <c r="C125" s="778"/>
      <c r="D125" s="734"/>
      <c r="E125" s="372"/>
      <c r="F125" s="778"/>
      <c r="G125" s="734"/>
    </row>
    <row r="126" spans="1:7" x14ac:dyDescent="0.3">
      <c r="A126" s="372" t="s">
        <v>315</v>
      </c>
      <c r="B126" s="372"/>
      <c r="C126" s="778"/>
      <c r="D126" s="734"/>
      <c r="E126" s="372"/>
      <c r="F126" s="778"/>
      <c r="G126" s="734"/>
    </row>
    <row r="127" spans="1:7" x14ac:dyDescent="0.3">
      <c r="A127" s="372" t="s">
        <v>390</v>
      </c>
      <c r="B127" s="372"/>
      <c r="C127" s="778"/>
      <c r="D127" s="734"/>
      <c r="E127" s="372"/>
      <c r="F127" s="778"/>
      <c r="G127" s="734"/>
    </row>
    <row r="128" spans="1:7" x14ac:dyDescent="0.3">
      <c r="A128" s="526" t="s">
        <v>12</v>
      </c>
      <c r="B128" s="375">
        <v>0</v>
      </c>
      <c r="C128" s="779">
        <v>0</v>
      </c>
      <c r="D128" s="735">
        <v>0</v>
      </c>
      <c r="E128" s="375">
        <v>0</v>
      </c>
      <c r="F128" s="779">
        <v>0</v>
      </c>
      <c r="G128" s="735">
        <v>0</v>
      </c>
    </row>
    <row r="129" spans="1:7" x14ac:dyDescent="0.3">
      <c r="A129" s="372" t="s">
        <v>391</v>
      </c>
      <c r="B129" s="372">
        <v>0</v>
      </c>
      <c r="C129" s="778"/>
      <c r="D129" s="734"/>
      <c r="E129" s="372">
        <v>0</v>
      </c>
      <c r="F129" s="778"/>
      <c r="G129" s="734"/>
    </row>
    <row r="130" spans="1:7" x14ac:dyDescent="0.3">
      <c r="A130" s="372" t="s">
        <v>392</v>
      </c>
      <c r="B130" s="372">
        <v>0</v>
      </c>
      <c r="C130" s="778"/>
      <c r="D130" s="734"/>
      <c r="E130" s="372">
        <v>0</v>
      </c>
      <c r="F130" s="778"/>
      <c r="G130" s="734"/>
    </row>
    <row r="131" spans="1:7" x14ac:dyDescent="0.3">
      <c r="A131" s="372" t="s">
        <v>393</v>
      </c>
      <c r="B131" s="372">
        <v>0</v>
      </c>
      <c r="C131" s="778"/>
      <c r="D131" s="734"/>
      <c r="E131" s="372">
        <v>0</v>
      </c>
      <c r="F131" s="778"/>
      <c r="G131" s="734"/>
    </row>
    <row r="132" spans="1:7" x14ac:dyDescent="0.3">
      <c r="A132" s="372" t="s">
        <v>394</v>
      </c>
      <c r="B132" s="372">
        <v>0</v>
      </c>
      <c r="C132" s="781"/>
      <c r="D132" s="734"/>
      <c r="E132" s="372">
        <v>0</v>
      </c>
      <c r="F132" s="778"/>
      <c r="G132" s="734"/>
    </row>
    <row r="133" spans="1:7" x14ac:dyDescent="0.3">
      <c r="A133" s="377"/>
      <c r="B133" s="377"/>
      <c r="C133" s="780"/>
      <c r="D133" s="736"/>
      <c r="E133" s="377"/>
      <c r="F133" s="780"/>
      <c r="G133" s="736"/>
    </row>
    <row r="148" spans="1:7" x14ac:dyDescent="0.3">
      <c r="A148" s="3516" t="s">
        <v>0</v>
      </c>
      <c r="B148" s="3515" t="s">
        <v>5</v>
      </c>
      <c r="C148" s="3515"/>
      <c r="D148" s="3515"/>
      <c r="E148" s="3515" t="s">
        <v>21</v>
      </c>
      <c r="F148" s="3515"/>
      <c r="G148" s="3515"/>
    </row>
    <row r="149" spans="1:7" x14ac:dyDescent="0.3">
      <c r="A149" s="3517"/>
      <c r="B149" s="380" t="s">
        <v>28</v>
      </c>
      <c r="C149" s="775" t="s">
        <v>34</v>
      </c>
      <c r="D149" s="731" t="s">
        <v>62</v>
      </c>
      <c r="E149" s="380" t="s">
        <v>28</v>
      </c>
      <c r="F149" s="775" t="s">
        <v>34</v>
      </c>
      <c r="G149" s="731" t="s">
        <v>62</v>
      </c>
    </row>
    <row r="150" spans="1:7" ht="19.5" thickBot="1" x14ac:dyDescent="0.35">
      <c r="A150" s="525" t="s">
        <v>28</v>
      </c>
      <c r="B150" s="367">
        <v>0</v>
      </c>
      <c r="C150" s="776">
        <v>0</v>
      </c>
      <c r="D150" s="732">
        <v>0</v>
      </c>
      <c r="E150" s="367">
        <v>0</v>
      </c>
      <c r="F150" s="776">
        <v>0</v>
      </c>
      <c r="G150" s="732">
        <v>0</v>
      </c>
    </row>
    <row r="151" spans="1:7" ht="19.5" thickTop="1" x14ac:dyDescent="0.3">
      <c r="A151" s="369" t="s">
        <v>7</v>
      </c>
      <c r="B151" s="370">
        <v>0</v>
      </c>
      <c r="C151" s="777">
        <v>0</v>
      </c>
      <c r="D151" s="733">
        <v>0</v>
      </c>
      <c r="E151" s="370">
        <v>0</v>
      </c>
      <c r="F151" s="777">
        <v>0</v>
      </c>
      <c r="G151" s="733">
        <v>0</v>
      </c>
    </row>
    <row r="152" spans="1:7" x14ac:dyDescent="0.3">
      <c r="A152" s="398" t="s">
        <v>8</v>
      </c>
      <c r="B152" s="372">
        <v>0</v>
      </c>
      <c r="C152" s="778"/>
      <c r="D152" s="734"/>
      <c r="E152" s="372">
        <v>0</v>
      </c>
      <c r="F152" s="778"/>
      <c r="G152" s="734"/>
    </row>
    <row r="153" spans="1:7" x14ac:dyDescent="0.3">
      <c r="A153" s="398" t="s">
        <v>306</v>
      </c>
      <c r="B153" s="372">
        <v>0</v>
      </c>
      <c r="C153" s="778"/>
      <c r="D153" s="734"/>
      <c r="E153" s="372">
        <v>0</v>
      </c>
      <c r="F153" s="778"/>
      <c r="G153" s="734"/>
    </row>
    <row r="154" spans="1:7" x14ac:dyDescent="0.3">
      <c r="A154" s="372"/>
      <c r="B154" s="372"/>
      <c r="C154" s="778"/>
      <c r="D154" s="734"/>
      <c r="E154" s="372"/>
      <c r="F154" s="778"/>
      <c r="G154" s="734"/>
    </row>
    <row r="155" spans="1:7" x14ac:dyDescent="0.3">
      <c r="A155" s="526" t="s">
        <v>9</v>
      </c>
      <c r="B155" s="527">
        <v>0</v>
      </c>
      <c r="C155" s="779">
        <v>0</v>
      </c>
      <c r="D155" s="738">
        <v>0</v>
      </c>
      <c r="E155" s="375">
        <v>0</v>
      </c>
      <c r="F155" s="779">
        <v>0</v>
      </c>
      <c r="G155" s="735">
        <v>0</v>
      </c>
    </row>
    <row r="156" spans="1:7" x14ac:dyDescent="0.3">
      <c r="A156" s="372" t="s">
        <v>308</v>
      </c>
      <c r="B156" s="381">
        <v>0</v>
      </c>
      <c r="C156" s="778"/>
      <c r="D156" s="739"/>
      <c r="E156" s="372">
        <v>0</v>
      </c>
      <c r="F156" s="778"/>
      <c r="G156" s="734"/>
    </row>
    <row r="157" spans="1:7" x14ac:dyDescent="0.3">
      <c r="A157" s="372" t="s">
        <v>309</v>
      </c>
      <c r="B157" s="372">
        <v>0</v>
      </c>
      <c r="C157" s="778"/>
      <c r="D157" s="734"/>
      <c r="E157" s="372">
        <v>0</v>
      </c>
      <c r="F157" s="778"/>
      <c r="G157" s="734"/>
    </row>
    <row r="158" spans="1:7" x14ac:dyDescent="0.3">
      <c r="A158" s="372" t="s">
        <v>310</v>
      </c>
      <c r="B158" s="372">
        <v>0</v>
      </c>
      <c r="C158" s="778"/>
      <c r="D158" s="734"/>
      <c r="E158" s="372">
        <v>0</v>
      </c>
      <c r="F158" s="778"/>
      <c r="G158" s="734"/>
    </row>
    <row r="159" spans="1:7" x14ac:dyDescent="0.3">
      <c r="A159" s="372" t="s">
        <v>311</v>
      </c>
      <c r="B159" s="372">
        <v>0</v>
      </c>
      <c r="C159" s="778"/>
      <c r="D159" s="734"/>
      <c r="E159" s="372">
        <v>0</v>
      </c>
      <c r="F159" s="778"/>
      <c r="G159" s="734"/>
    </row>
    <row r="160" spans="1:7" x14ac:dyDescent="0.3">
      <c r="A160" s="372" t="s">
        <v>312</v>
      </c>
      <c r="B160" s="372">
        <v>0</v>
      </c>
      <c r="C160" s="778"/>
      <c r="D160" s="734"/>
      <c r="E160" s="372">
        <v>0</v>
      </c>
      <c r="F160" s="778"/>
      <c r="G160" s="734"/>
    </row>
    <row r="161" spans="1:7" x14ac:dyDescent="0.3">
      <c r="A161" s="372" t="s">
        <v>313</v>
      </c>
      <c r="B161" s="372">
        <v>0</v>
      </c>
      <c r="C161" s="778"/>
      <c r="D161" s="734"/>
      <c r="E161" s="372">
        <v>0</v>
      </c>
      <c r="F161" s="778"/>
      <c r="G161" s="734"/>
    </row>
    <row r="162" spans="1:7" x14ac:dyDescent="0.3">
      <c r="A162" s="372" t="s">
        <v>314</v>
      </c>
      <c r="B162" s="372"/>
      <c r="C162" s="778"/>
      <c r="D162" s="734"/>
      <c r="E162" s="372">
        <v>0</v>
      </c>
      <c r="F162" s="778"/>
      <c r="G162" s="734"/>
    </row>
    <row r="163" spans="1:7" x14ac:dyDescent="0.3">
      <c r="A163" s="372" t="s">
        <v>315</v>
      </c>
      <c r="B163" s="372"/>
      <c r="C163" s="778"/>
      <c r="D163" s="734"/>
      <c r="E163" s="372">
        <v>0</v>
      </c>
      <c r="F163" s="778"/>
      <c r="G163" s="734"/>
    </row>
    <row r="164" spans="1:7" x14ac:dyDescent="0.3">
      <c r="A164" s="372" t="s">
        <v>390</v>
      </c>
      <c r="B164" s="372"/>
      <c r="C164" s="778"/>
      <c r="D164" s="734"/>
      <c r="E164" s="372"/>
      <c r="F164" s="778"/>
      <c r="G164" s="734"/>
    </row>
    <row r="165" spans="1:7" x14ac:dyDescent="0.3">
      <c r="A165" s="526" t="s">
        <v>12</v>
      </c>
      <c r="B165" s="375">
        <v>0</v>
      </c>
      <c r="C165" s="779">
        <v>0</v>
      </c>
      <c r="D165" s="735">
        <v>0</v>
      </c>
      <c r="E165" s="375">
        <v>0</v>
      </c>
      <c r="F165" s="779">
        <v>0</v>
      </c>
      <c r="G165" s="735">
        <v>0</v>
      </c>
    </row>
    <row r="166" spans="1:7" x14ac:dyDescent="0.3">
      <c r="A166" s="372" t="s">
        <v>391</v>
      </c>
      <c r="B166" s="372">
        <v>0</v>
      </c>
      <c r="C166" s="778"/>
      <c r="D166" s="734"/>
      <c r="E166" s="372">
        <v>0</v>
      </c>
      <c r="F166" s="778"/>
      <c r="G166" s="734"/>
    </row>
    <row r="167" spans="1:7" x14ac:dyDescent="0.3">
      <c r="A167" s="372" t="s">
        <v>392</v>
      </c>
      <c r="B167" s="372">
        <v>0</v>
      </c>
      <c r="C167" s="778"/>
      <c r="D167" s="734"/>
      <c r="E167" s="372">
        <v>0</v>
      </c>
      <c r="F167" s="778"/>
      <c r="G167" s="734"/>
    </row>
    <row r="168" spans="1:7" x14ac:dyDescent="0.3">
      <c r="A168" s="372" t="s">
        <v>393</v>
      </c>
      <c r="B168" s="372">
        <v>0</v>
      </c>
      <c r="C168" s="778"/>
      <c r="D168" s="734"/>
      <c r="E168" s="372">
        <v>0</v>
      </c>
      <c r="F168" s="778"/>
      <c r="G168" s="734"/>
    </row>
    <row r="169" spans="1:7" x14ac:dyDescent="0.3">
      <c r="A169" s="372" t="s">
        <v>394</v>
      </c>
      <c r="B169" s="372">
        <v>0</v>
      </c>
      <c r="C169" s="778"/>
      <c r="D169" s="734"/>
      <c r="E169" s="372">
        <v>0</v>
      </c>
      <c r="F169" s="778"/>
      <c r="G169" s="734"/>
    </row>
    <row r="170" spans="1:7" x14ac:dyDescent="0.3">
      <c r="A170" s="377"/>
      <c r="B170" s="377"/>
      <c r="C170" s="780"/>
      <c r="D170" s="736"/>
      <c r="E170" s="377"/>
      <c r="F170" s="780"/>
      <c r="G170" s="736"/>
    </row>
  </sheetData>
  <mergeCells count="18">
    <mergeCell ref="A3:A4"/>
    <mergeCell ref="B3:D3"/>
    <mergeCell ref="E3:G3"/>
    <mergeCell ref="I3:I4"/>
    <mergeCell ref="J3:L3"/>
    <mergeCell ref="O15:T15"/>
    <mergeCell ref="A37:A38"/>
    <mergeCell ref="B37:D37"/>
    <mergeCell ref="E37:G37"/>
    <mergeCell ref="A148:A149"/>
    <mergeCell ref="B148:D148"/>
    <mergeCell ref="E148:G148"/>
    <mergeCell ref="A74:A75"/>
    <mergeCell ref="B74:D74"/>
    <mergeCell ref="E74:G74"/>
    <mergeCell ref="A111:A112"/>
    <mergeCell ref="B111:D111"/>
    <mergeCell ref="E111:G11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99FF"/>
  </sheetPr>
  <dimension ref="A1:T381"/>
  <sheetViews>
    <sheetView zoomScaleNormal="100" workbookViewId="0">
      <selection sqref="A1:XFD1048576"/>
    </sheetView>
  </sheetViews>
  <sheetFormatPr defaultColWidth="9.140625" defaultRowHeight="18.75" x14ac:dyDescent="0.3"/>
  <cols>
    <col min="1" max="1" width="22.5703125" style="395" customWidth="1"/>
    <col min="2" max="2" width="10" style="414" customWidth="1"/>
    <col min="3" max="3" width="10.140625" style="339" customWidth="1"/>
    <col min="4" max="4" width="9" style="339" customWidth="1"/>
    <col min="5" max="5" width="12" style="339" customWidth="1"/>
    <col min="6" max="6" width="13.85546875" style="339" customWidth="1"/>
    <col min="7" max="7" width="10.85546875" style="339" customWidth="1"/>
    <col min="8" max="8" width="11" style="395" bestFit="1" customWidth="1"/>
    <col min="9" max="9" width="23.28515625" style="339" customWidth="1"/>
    <col min="10" max="10" width="9.7109375" style="339" customWidth="1"/>
    <col min="11" max="11" width="10.28515625" style="722" customWidth="1"/>
    <col min="12" max="12" width="9.28515625" style="730" customWidth="1"/>
    <col min="13" max="14" width="10.42578125" style="395" customWidth="1"/>
    <col min="15" max="15" width="9.140625" style="395"/>
    <col min="16" max="16" width="19.140625" style="395" customWidth="1"/>
    <col min="17" max="16384" width="9.140625" style="395"/>
  </cols>
  <sheetData>
    <row r="1" spans="1:20" x14ac:dyDescent="0.3">
      <c r="A1" s="415" t="s">
        <v>806</v>
      </c>
      <c r="K1" s="339"/>
      <c r="L1" s="382"/>
      <c r="N1" s="416"/>
      <c r="Q1" s="472"/>
      <c r="R1" s="472"/>
      <c r="S1" s="473"/>
      <c r="T1" s="474"/>
    </row>
    <row r="2" spans="1:20" x14ac:dyDescent="0.3">
      <c r="K2" s="339"/>
      <c r="L2" s="339"/>
      <c r="N2" s="395" t="s">
        <v>284</v>
      </c>
      <c r="Q2" s="472"/>
      <c r="R2" s="472"/>
      <c r="S2" s="476"/>
      <c r="T2" s="472"/>
    </row>
    <row r="3" spans="1:20" ht="24.95" customHeight="1" x14ac:dyDescent="0.3">
      <c r="A3" s="3513" t="s">
        <v>0</v>
      </c>
      <c r="B3" s="3515" t="s">
        <v>6</v>
      </c>
      <c r="C3" s="3515"/>
      <c r="D3" s="3515"/>
      <c r="E3" s="3515" t="s">
        <v>2</v>
      </c>
      <c r="F3" s="3515"/>
      <c r="G3" s="3515"/>
      <c r="I3" s="3516" t="s">
        <v>0</v>
      </c>
      <c r="J3" s="3518" t="s">
        <v>28</v>
      </c>
      <c r="K3" s="3518"/>
      <c r="L3" s="3518"/>
      <c r="N3" s="417" t="s">
        <v>304</v>
      </c>
      <c r="Q3" s="472"/>
      <c r="R3" s="472"/>
      <c r="S3" s="472"/>
      <c r="T3" s="472"/>
    </row>
    <row r="4" spans="1:20" ht="24.95" customHeight="1" x14ac:dyDescent="0.3">
      <c r="A4" s="3514"/>
      <c r="B4" s="418" t="s">
        <v>28</v>
      </c>
      <c r="C4" s="723" t="s">
        <v>34</v>
      </c>
      <c r="D4" s="731" t="s">
        <v>62</v>
      </c>
      <c r="E4" s="380" t="s">
        <v>28</v>
      </c>
      <c r="F4" s="723" t="s">
        <v>34</v>
      </c>
      <c r="G4" s="731" t="s">
        <v>62</v>
      </c>
      <c r="I4" s="3517"/>
      <c r="J4" s="380" t="s">
        <v>28</v>
      </c>
      <c r="K4" s="723" t="s">
        <v>34</v>
      </c>
      <c r="L4" s="731" t="s">
        <v>62</v>
      </c>
    </row>
    <row r="5" spans="1:20" ht="24.95" customHeight="1" thickBot="1" x14ac:dyDescent="0.35">
      <c r="A5" s="419" t="s">
        <v>28</v>
      </c>
      <c r="B5" s="420">
        <v>0</v>
      </c>
      <c r="C5" s="724">
        <v>0</v>
      </c>
      <c r="D5" s="732">
        <v>0</v>
      </c>
      <c r="E5" s="367">
        <v>252466</v>
      </c>
      <c r="F5" s="724">
        <v>69862</v>
      </c>
      <c r="G5" s="732">
        <v>182604</v>
      </c>
      <c r="I5" s="525" t="s">
        <v>28</v>
      </c>
      <c r="J5" s="367">
        <v>361246</v>
      </c>
      <c r="K5" s="724">
        <v>69862</v>
      </c>
      <c r="L5" s="732">
        <v>291384</v>
      </c>
    </row>
    <row r="6" spans="1:20" s="415" customFormat="1" ht="24.95" customHeight="1" thickTop="1" x14ac:dyDescent="0.3">
      <c r="A6" s="369" t="s">
        <v>7</v>
      </c>
      <c r="B6" s="421">
        <v>0</v>
      </c>
      <c r="C6" s="725">
        <v>0</v>
      </c>
      <c r="D6" s="733">
        <v>0</v>
      </c>
      <c r="E6" s="370">
        <v>0</v>
      </c>
      <c r="F6" s="725">
        <v>0</v>
      </c>
      <c r="G6" s="733">
        <v>0</v>
      </c>
      <c r="I6" s="369" t="s">
        <v>7</v>
      </c>
      <c r="J6" s="370">
        <v>0</v>
      </c>
      <c r="K6" s="725">
        <v>0</v>
      </c>
      <c r="L6" s="733">
        <v>0</v>
      </c>
    </row>
    <row r="7" spans="1:20" ht="24.95" customHeight="1" x14ac:dyDescent="0.3">
      <c r="A7" s="398" t="s">
        <v>8</v>
      </c>
      <c r="B7" s="422">
        <v>0</v>
      </c>
      <c r="C7" s="726">
        <v>0</v>
      </c>
      <c r="D7" s="734">
        <v>0</v>
      </c>
      <c r="E7" s="372">
        <v>0</v>
      </c>
      <c r="F7" s="726">
        <v>0</v>
      </c>
      <c r="G7" s="734">
        <v>0</v>
      </c>
      <c r="I7" s="398" t="s">
        <v>8</v>
      </c>
      <c r="J7" s="372">
        <v>0</v>
      </c>
      <c r="K7" s="726">
        <v>0</v>
      </c>
      <c r="L7" s="734">
        <v>0</v>
      </c>
    </row>
    <row r="8" spans="1:20" ht="24.95" customHeight="1" x14ac:dyDescent="0.3">
      <c r="A8" s="398" t="s">
        <v>306</v>
      </c>
      <c r="B8" s="422">
        <v>0</v>
      </c>
      <c r="C8" s="726">
        <v>0</v>
      </c>
      <c r="D8" s="734">
        <v>0</v>
      </c>
      <c r="E8" s="372">
        <v>0</v>
      </c>
      <c r="F8" s="726">
        <v>0</v>
      </c>
      <c r="G8" s="734">
        <v>0</v>
      </c>
      <c r="I8" s="398" t="s">
        <v>306</v>
      </c>
      <c r="J8" s="372">
        <v>0</v>
      </c>
      <c r="K8" s="726">
        <v>0</v>
      </c>
      <c r="L8" s="734">
        <v>0</v>
      </c>
    </row>
    <row r="9" spans="1:20" ht="24.95" customHeight="1" x14ac:dyDescent="0.3">
      <c r="A9" s="372"/>
      <c r="B9" s="422"/>
      <c r="C9" s="726"/>
      <c r="D9" s="734"/>
      <c r="E9" s="372"/>
      <c r="F9" s="726"/>
      <c r="G9" s="734"/>
      <c r="I9" s="372"/>
      <c r="J9" s="372"/>
      <c r="K9" s="726"/>
      <c r="L9" s="734"/>
    </row>
    <row r="10" spans="1:20" s="415" customFormat="1" ht="24.95" customHeight="1" x14ac:dyDescent="0.3">
      <c r="A10" s="526" t="s">
        <v>9</v>
      </c>
      <c r="B10" s="423">
        <v>0</v>
      </c>
      <c r="C10" s="727">
        <v>0</v>
      </c>
      <c r="D10" s="735">
        <v>0</v>
      </c>
      <c r="E10" s="375">
        <v>252466</v>
      </c>
      <c r="F10" s="727">
        <v>69862</v>
      </c>
      <c r="G10" s="735">
        <v>182604</v>
      </c>
      <c r="I10" s="526" t="s">
        <v>9</v>
      </c>
      <c r="J10" s="375">
        <v>361246</v>
      </c>
      <c r="K10" s="727">
        <v>69862</v>
      </c>
      <c r="L10" s="735">
        <v>291384</v>
      </c>
    </row>
    <row r="11" spans="1:20" ht="24.95" customHeight="1" x14ac:dyDescent="0.3">
      <c r="A11" s="372" t="s">
        <v>308</v>
      </c>
      <c r="B11" s="422">
        <v>0</v>
      </c>
      <c r="C11" s="726">
        <v>0</v>
      </c>
      <c r="D11" s="734">
        <v>0</v>
      </c>
      <c r="E11" s="372">
        <v>247786</v>
      </c>
      <c r="F11" s="726">
        <v>69862</v>
      </c>
      <c r="G11" s="734">
        <v>177924</v>
      </c>
      <c r="I11" s="372" t="s">
        <v>308</v>
      </c>
      <c r="J11" s="372">
        <v>342856</v>
      </c>
      <c r="K11" s="726">
        <v>69862</v>
      </c>
      <c r="L11" s="734">
        <v>272994</v>
      </c>
    </row>
    <row r="12" spans="1:20" ht="24.95" customHeight="1" x14ac:dyDescent="0.3">
      <c r="A12" s="372" t="s">
        <v>309</v>
      </c>
      <c r="B12" s="422">
        <v>0</v>
      </c>
      <c r="C12" s="726">
        <v>0</v>
      </c>
      <c r="D12" s="734">
        <v>0</v>
      </c>
      <c r="E12" s="372">
        <v>0</v>
      </c>
      <c r="F12" s="726">
        <v>0</v>
      </c>
      <c r="G12" s="734">
        <v>0</v>
      </c>
      <c r="I12" s="372" t="s">
        <v>309</v>
      </c>
      <c r="J12" s="372">
        <v>0</v>
      </c>
      <c r="K12" s="726">
        <v>0</v>
      </c>
      <c r="L12" s="734">
        <v>0</v>
      </c>
    </row>
    <row r="13" spans="1:20" ht="24.95" customHeight="1" x14ac:dyDescent="0.3">
      <c r="A13" s="372" t="s">
        <v>310</v>
      </c>
      <c r="B13" s="422">
        <v>0</v>
      </c>
      <c r="C13" s="726">
        <v>0</v>
      </c>
      <c r="D13" s="734">
        <v>0</v>
      </c>
      <c r="E13" s="372">
        <v>0</v>
      </c>
      <c r="F13" s="726">
        <v>0</v>
      </c>
      <c r="G13" s="734">
        <v>0</v>
      </c>
      <c r="I13" s="372" t="s">
        <v>310</v>
      </c>
      <c r="J13" s="372">
        <v>0</v>
      </c>
      <c r="K13" s="726">
        <v>0</v>
      </c>
      <c r="L13" s="734">
        <v>0</v>
      </c>
    </row>
    <row r="14" spans="1:20" ht="24.95" customHeight="1" x14ac:dyDescent="0.3">
      <c r="A14" s="372" t="s">
        <v>311</v>
      </c>
      <c r="B14" s="422">
        <v>0</v>
      </c>
      <c r="C14" s="726">
        <v>0</v>
      </c>
      <c r="D14" s="734">
        <v>0</v>
      </c>
      <c r="E14" s="372">
        <v>0</v>
      </c>
      <c r="F14" s="726">
        <v>0</v>
      </c>
      <c r="G14" s="734">
        <v>0</v>
      </c>
      <c r="I14" s="372" t="s">
        <v>311</v>
      </c>
      <c r="J14" s="372">
        <v>0</v>
      </c>
      <c r="K14" s="726">
        <v>0</v>
      </c>
      <c r="L14" s="734">
        <v>0</v>
      </c>
    </row>
    <row r="15" spans="1:20" ht="24.95" customHeight="1" x14ac:dyDescent="0.3">
      <c r="A15" s="372" t="s">
        <v>312</v>
      </c>
      <c r="B15" s="422">
        <v>0</v>
      </c>
      <c r="C15" s="726">
        <v>0</v>
      </c>
      <c r="D15" s="734">
        <v>0</v>
      </c>
      <c r="E15" s="372">
        <v>0</v>
      </c>
      <c r="F15" s="726">
        <v>0</v>
      </c>
      <c r="G15" s="734">
        <v>0</v>
      </c>
      <c r="I15" s="372" t="s">
        <v>312</v>
      </c>
      <c r="J15" s="372">
        <v>13710</v>
      </c>
      <c r="K15" s="726">
        <v>0</v>
      </c>
      <c r="L15" s="734">
        <v>13710</v>
      </c>
      <c r="N15" s="3522" t="s">
        <v>819</v>
      </c>
      <c r="O15" s="3522"/>
      <c r="P15" s="3522"/>
      <c r="Q15" s="3522"/>
      <c r="R15" s="3522"/>
      <c r="S15" s="3522"/>
    </row>
    <row r="16" spans="1:20" ht="24.95" customHeight="1" x14ac:dyDescent="0.3">
      <c r="A16" s="372" t="s">
        <v>313</v>
      </c>
      <c r="B16" s="422">
        <v>0</v>
      </c>
      <c r="C16" s="726">
        <v>0</v>
      </c>
      <c r="D16" s="734">
        <v>0</v>
      </c>
      <c r="E16" s="372">
        <v>0</v>
      </c>
      <c r="F16" s="726">
        <v>0</v>
      </c>
      <c r="G16" s="734">
        <v>0</v>
      </c>
      <c r="I16" s="372" t="s">
        <v>313</v>
      </c>
      <c r="J16" s="372">
        <v>0</v>
      </c>
      <c r="K16" s="726">
        <v>0</v>
      </c>
      <c r="L16" s="734">
        <v>0</v>
      </c>
    </row>
    <row r="17" spans="1:12" ht="24.95" customHeight="1" x14ac:dyDescent="0.3">
      <c r="A17" s="372" t="s">
        <v>314</v>
      </c>
      <c r="B17" s="422">
        <v>0</v>
      </c>
      <c r="C17" s="726">
        <v>0</v>
      </c>
      <c r="D17" s="734">
        <v>0</v>
      </c>
      <c r="E17" s="372">
        <v>0</v>
      </c>
      <c r="F17" s="726">
        <v>0</v>
      </c>
      <c r="G17" s="734">
        <v>0</v>
      </c>
      <c r="I17" s="372" t="s">
        <v>314</v>
      </c>
      <c r="J17" s="372">
        <v>0</v>
      </c>
      <c r="K17" s="726">
        <v>0</v>
      </c>
      <c r="L17" s="734">
        <v>0</v>
      </c>
    </row>
    <row r="18" spans="1:12" ht="24.95" customHeight="1" x14ac:dyDescent="0.3">
      <c r="A18" s="372" t="s">
        <v>315</v>
      </c>
      <c r="B18" s="422">
        <v>0</v>
      </c>
      <c r="C18" s="726">
        <v>0</v>
      </c>
      <c r="D18" s="734">
        <v>0</v>
      </c>
      <c r="E18" s="372">
        <v>4680</v>
      </c>
      <c r="F18" s="726">
        <v>0</v>
      </c>
      <c r="G18" s="734">
        <v>4680</v>
      </c>
      <c r="I18" s="372" t="s">
        <v>315</v>
      </c>
      <c r="J18" s="372">
        <v>4680</v>
      </c>
      <c r="K18" s="726">
        <v>0</v>
      </c>
      <c r="L18" s="734">
        <v>4680</v>
      </c>
    </row>
    <row r="19" spans="1:12" ht="24.95" customHeight="1" x14ac:dyDescent="0.3">
      <c r="A19" s="372" t="s">
        <v>390</v>
      </c>
      <c r="B19" s="422">
        <v>0</v>
      </c>
      <c r="C19" s="726">
        <v>0</v>
      </c>
      <c r="D19" s="734">
        <v>0</v>
      </c>
      <c r="E19" s="372">
        <v>0</v>
      </c>
      <c r="F19" s="726">
        <v>0</v>
      </c>
      <c r="G19" s="734">
        <v>0</v>
      </c>
      <c r="I19" s="372" t="s">
        <v>390</v>
      </c>
      <c r="J19" s="372">
        <v>0</v>
      </c>
      <c r="K19" s="726">
        <v>0</v>
      </c>
      <c r="L19" s="734">
        <v>0</v>
      </c>
    </row>
    <row r="20" spans="1:12" s="415" customFormat="1" ht="24.95" customHeight="1" x14ac:dyDescent="0.3">
      <c r="A20" s="526" t="s">
        <v>12</v>
      </c>
      <c r="B20" s="423">
        <v>0</v>
      </c>
      <c r="C20" s="727">
        <v>0</v>
      </c>
      <c r="D20" s="735">
        <v>0</v>
      </c>
      <c r="E20" s="375">
        <v>0</v>
      </c>
      <c r="F20" s="727">
        <v>0</v>
      </c>
      <c r="G20" s="735">
        <v>0</v>
      </c>
      <c r="I20" s="526" t="s">
        <v>12</v>
      </c>
      <c r="J20" s="375">
        <v>0</v>
      </c>
      <c r="K20" s="727">
        <v>0</v>
      </c>
      <c r="L20" s="735">
        <v>0</v>
      </c>
    </row>
    <row r="21" spans="1:12" ht="24.95" customHeight="1" x14ac:dyDescent="0.3">
      <c r="A21" s="372" t="s">
        <v>391</v>
      </c>
      <c r="B21" s="422">
        <v>0</v>
      </c>
      <c r="C21" s="726">
        <v>0</v>
      </c>
      <c r="D21" s="734">
        <v>0</v>
      </c>
      <c r="E21" s="372"/>
      <c r="F21" s="726">
        <v>0</v>
      </c>
      <c r="G21" s="734">
        <v>0</v>
      </c>
      <c r="I21" s="372" t="s">
        <v>391</v>
      </c>
      <c r="J21" s="372">
        <v>0</v>
      </c>
      <c r="K21" s="726">
        <v>0</v>
      </c>
      <c r="L21" s="734">
        <v>0</v>
      </c>
    </row>
    <row r="22" spans="1:12" ht="24.95" customHeight="1" x14ac:dyDescent="0.3">
      <c r="A22" s="372" t="s">
        <v>392</v>
      </c>
      <c r="B22" s="422">
        <v>0</v>
      </c>
      <c r="C22" s="726">
        <v>0</v>
      </c>
      <c r="D22" s="734">
        <v>0</v>
      </c>
      <c r="E22" s="372"/>
      <c r="F22" s="726">
        <v>0</v>
      </c>
      <c r="G22" s="734">
        <v>0</v>
      </c>
      <c r="I22" s="372" t="s">
        <v>392</v>
      </c>
      <c r="J22" s="372">
        <v>0</v>
      </c>
      <c r="K22" s="726">
        <v>0</v>
      </c>
      <c r="L22" s="734">
        <v>0</v>
      </c>
    </row>
    <row r="23" spans="1:12" ht="24.95" customHeight="1" x14ac:dyDescent="0.3">
      <c r="A23" s="372" t="s">
        <v>393</v>
      </c>
      <c r="B23" s="422">
        <v>0</v>
      </c>
      <c r="C23" s="726">
        <v>0</v>
      </c>
      <c r="D23" s="734">
        <v>0</v>
      </c>
      <c r="E23" s="372"/>
      <c r="F23" s="726">
        <v>0</v>
      </c>
      <c r="G23" s="734">
        <v>0</v>
      </c>
      <c r="I23" s="372" t="s">
        <v>393</v>
      </c>
      <c r="J23" s="372">
        <v>0</v>
      </c>
      <c r="K23" s="726">
        <v>0</v>
      </c>
      <c r="L23" s="734">
        <v>0</v>
      </c>
    </row>
    <row r="24" spans="1:12" ht="24.95" customHeight="1" x14ac:dyDescent="0.3">
      <c r="A24" s="372" t="s">
        <v>394</v>
      </c>
      <c r="B24" s="422">
        <v>0</v>
      </c>
      <c r="C24" s="726">
        <v>0</v>
      </c>
      <c r="D24" s="734">
        <v>0</v>
      </c>
      <c r="E24" s="372"/>
      <c r="F24" s="726">
        <v>0</v>
      </c>
      <c r="G24" s="734">
        <v>0</v>
      </c>
      <c r="I24" s="372" t="s">
        <v>394</v>
      </c>
      <c r="J24" s="372">
        <v>0</v>
      </c>
      <c r="K24" s="726">
        <v>0</v>
      </c>
      <c r="L24" s="734">
        <v>0</v>
      </c>
    </row>
    <row r="25" spans="1:12" ht="24.95" customHeight="1" x14ac:dyDescent="0.3">
      <c r="A25" s="413"/>
      <c r="B25" s="424"/>
      <c r="C25" s="728"/>
      <c r="D25" s="736"/>
      <c r="E25" s="377"/>
      <c r="F25" s="728"/>
      <c r="G25" s="736"/>
      <c r="I25" s="377"/>
      <c r="J25" s="377"/>
      <c r="K25" s="728"/>
      <c r="L25" s="736"/>
    </row>
    <row r="26" spans="1:12" x14ac:dyDescent="0.3">
      <c r="K26" s="339"/>
      <c r="L26" s="339"/>
    </row>
    <row r="27" spans="1:12" x14ac:dyDescent="0.3">
      <c r="K27" s="339"/>
      <c r="L27" s="339"/>
    </row>
    <row r="28" spans="1:12" x14ac:dyDescent="0.3">
      <c r="K28" s="339"/>
      <c r="L28" s="339"/>
    </row>
    <row r="29" spans="1:12" x14ac:dyDescent="0.3">
      <c r="K29" s="339"/>
      <c r="L29" s="339"/>
    </row>
    <row r="30" spans="1:12" x14ac:dyDescent="0.3">
      <c r="K30" s="339"/>
      <c r="L30" s="339"/>
    </row>
    <row r="31" spans="1:12" x14ac:dyDescent="0.3">
      <c r="K31" s="339"/>
      <c r="L31" s="339"/>
    </row>
    <row r="32" spans="1:12" x14ac:dyDescent="0.3">
      <c r="K32" s="339"/>
      <c r="L32" s="339"/>
    </row>
    <row r="33" spans="1:12" x14ac:dyDescent="0.3">
      <c r="K33" s="339"/>
      <c r="L33" s="339"/>
    </row>
    <row r="34" spans="1:12" x14ac:dyDescent="0.3">
      <c r="K34" s="339"/>
      <c r="L34" s="339"/>
    </row>
    <row r="35" spans="1:12" x14ac:dyDescent="0.3">
      <c r="K35" s="339"/>
      <c r="L35" s="339"/>
    </row>
    <row r="36" spans="1:12" x14ac:dyDescent="0.3">
      <c r="K36" s="339"/>
      <c r="L36" s="339"/>
    </row>
    <row r="37" spans="1:12" x14ac:dyDescent="0.3">
      <c r="A37" s="3513" t="s">
        <v>0</v>
      </c>
      <c r="B37" s="3515" t="s">
        <v>1</v>
      </c>
      <c r="C37" s="3515"/>
      <c r="D37" s="3515"/>
      <c r="E37" s="3515" t="s">
        <v>3</v>
      </c>
      <c r="F37" s="3515"/>
      <c r="G37" s="3515"/>
      <c r="K37" s="339"/>
      <c r="L37" s="339"/>
    </row>
    <row r="38" spans="1:12" x14ac:dyDescent="0.3">
      <c r="A38" s="3514"/>
      <c r="B38" s="418" t="s">
        <v>28</v>
      </c>
      <c r="C38" s="723" t="s">
        <v>34</v>
      </c>
      <c r="D38" s="731" t="s">
        <v>62</v>
      </c>
      <c r="E38" s="380" t="s">
        <v>28</v>
      </c>
      <c r="F38" s="723" t="s">
        <v>34</v>
      </c>
      <c r="G38" s="731" t="s">
        <v>62</v>
      </c>
      <c r="K38" s="339"/>
      <c r="L38" s="339"/>
    </row>
    <row r="39" spans="1:12" ht="19.5" thickBot="1" x14ac:dyDescent="0.35">
      <c r="A39" s="419" t="s">
        <v>28</v>
      </c>
      <c r="B39" s="420">
        <v>108780</v>
      </c>
      <c r="C39" s="724">
        <v>0</v>
      </c>
      <c r="D39" s="737">
        <v>108780</v>
      </c>
      <c r="E39" s="367">
        <v>0</v>
      </c>
      <c r="F39" s="724">
        <v>0</v>
      </c>
      <c r="G39" s="732">
        <v>0</v>
      </c>
      <c r="K39" s="339"/>
      <c r="L39" s="339"/>
    </row>
    <row r="40" spans="1:12" ht="19.5" thickTop="1" x14ac:dyDescent="0.3">
      <c r="A40" s="369" t="s">
        <v>7</v>
      </c>
      <c r="B40" s="421">
        <v>0</v>
      </c>
      <c r="C40" s="725">
        <v>0</v>
      </c>
      <c r="D40" s="733">
        <v>0</v>
      </c>
      <c r="E40" s="370">
        <v>0</v>
      </c>
      <c r="F40" s="725">
        <v>0</v>
      </c>
      <c r="G40" s="733">
        <v>0</v>
      </c>
      <c r="K40" s="339"/>
      <c r="L40" s="339"/>
    </row>
    <row r="41" spans="1:12" x14ac:dyDescent="0.3">
      <c r="A41" s="398" t="s">
        <v>8</v>
      </c>
      <c r="B41" s="422">
        <v>0</v>
      </c>
      <c r="C41" s="726">
        <v>0</v>
      </c>
      <c r="D41" s="734">
        <v>0</v>
      </c>
      <c r="E41" s="372">
        <v>0</v>
      </c>
      <c r="F41" s="726"/>
      <c r="G41" s="734"/>
      <c r="K41" s="339"/>
      <c r="L41" s="339"/>
    </row>
    <row r="42" spans="1:12" x14ac:dyDescent="0.3">
      <c r="A42" s="398" t="s">
        <v>306</v>
      </c>
      <c r="B42" s="422">
        <v>0</v>
      </c>
      <c r="C42" s="726">
        <v>0</v>
      </c>
      <c r="D42" s="734">
        <v>0</v>
      </c>
      <c r="E42" s="372">
        <v>0</v>
      </c>
      <c r="F42" s="726"/>
      <c r="G42" s="734"/>
      <c r="K42" s="339"/>
      <c r="L42" s="339"/>
    </row>
    <row r="43" spans="1:12" x14ac:dyDescent="0.3">
      <c r="A43" s="372"/>
      <c r="B43" s="422"/>
      <c r="C43" s="726"/>
      <c r="D43" s="734"/>
      <c r="E43" s="372"/>
      <c r="F43" s="726"/>
      <c r="G43" s="734"/>
      <c r="K43" s="339"/>
      <c r="L43" s="339"/>
    </row>
    <row r="44" spans="1:12" x14ac:dyDescent="0.3">
      <c r="A44" s="526" t="s">
        <v>9</v>
      </c>
      <c r="B44" s="423">
        <v>108780</v>
      </c>
      <c r="C44" s="727">
        <v>0</v>
      </c>
      <c r="D44" s="735">
        <v>108780</v>
      </c>
      <c r="E44" s="375">
        <v>0</v>
      </c>
      <c r="F44" s="727">
        <v>0</v>
      </c>
      <c r="G44" s="735">
        <v>0</v>
      </c>
      <c r="K44" s="339"/>
      <c r="L44" s="339"/>
    </row>
    <row r="45" spans="1:12" x14ac:dyDescent="0.3">
      <c r="A45" s="372" t="s">
        <v>308</v>
      </c>
      <c r="B45" s="422">
        <v>95070</v>
      </c>
      <c r="C45" s="726">
        <v>0</v>
      </c>
      <c r="D45" s="734">
        <v>95070</v>
      </c>
      <c r="E45" s="372">
        <v>0</v>
      </c>
      <c r="F45" s="726"/>
      <c r="G45" s="734"/>
      <c r="K45" s="339"/>
      <c r="L45" s="339"/>
    </row>
    <row r="46" spans="1:12" x14ac:dyDescent="0.3">
      <c r="A46" s="372" t="s">
        <v>309</v>
      </c>
      <c r="B46" s="422">
        <v>0</v>
      </c>
      <c r="C46" s="726">
        <v>0</v>
      </c>
      <c r="D46" s="734">
        <v>0</v>
      </c>
      <c r="E46" s="372">
        <v>0</v>
      </c>
      <c r="F46" s="726"/>
      <c r="G46" s="734"/>
      <c r="K46" s="339"/>
      <c r="L46" s="339"/>
    </row>
    <row r="47" spans="1:12" x14ac:dyDescent="0.3">
      <c r="A47" s="372" t="s">
        <v>310</v>
      </c>
      <c r="B47" s="422">
        <v>0</v>
      </c>
      <c r="C47" s="726">
        <v>0</v>
      </c>
      <c r="D47" s="734">
        <v>0</v>
      </c>
      <c r="E47" s="372">
        <v>0</v>
      </c>
      <c r="F47" s="726"/>
      <c r="G47" s="734"/>
      <c r="K47" s="339"/>
      <c r="L47" s="339"/>
    </row>
    <row r="48" spans="1:12" x14ac:dyDescent="0.3">
      <c r="A48" s="372" t="s">
        <v>311</v>
      </c>
      <c r="B48" s="422">
        <v>0</v>
      </c>
      <c r="C48" s="726">
        <v>0</v>
      </c>
      <c r="D48" s="734">
        <v>0</v>
      </c>
      <c r="E48" s="372">
        <v>0</v>
      </c>
      <c r="F48" s="726"/>
      <c r="G48" s="734"/>
      <c r="K48" s="339"/>
      <c r="L48" s="339"/>
    </row>
    <row r="49" spans="1:12" x14ac:dyDescent="0.3">
      <c r="A49" s="372" t="s">
        <v>312</v>
      </c>
      <c r="B49" s="422">
        <v>13710</v>
      </c>
      <c r="C49" s="726">
        <v>0</v>
      </c>
      <c r="D49" s="734">
        <v>13710</v>
      </c>
      <c r="E49" s="372">
        <v>0</v>
      </c>
      <c r="F49" s="726"/>
      <c r="G49" s="734"/>
      <c r="K49" s="339"/>
      <c r="L49" s="339"/>
    </row>
    <row r="50" spans="1:12" x14ac:dyDescent="0.3">
      <c r="A50" s="372" t="s">
        <v>313</v>
      </c>
      <c r="B50" s="422">
        <v>0</v>
      </c>
      <c r="C50" s="726">
        <v>0</v>
      </c>
      <c r="D50" s="734">
        <v>0</v>
      </c>
      <c r="E50" s="372">
        <v>0</v>
      </c>
      <c r="F50" s="726"/>
      <c r="G50" s="734"/>
      <c r="K50" s="339"/>
      <c r="L50" s="339"/>
    </row>
    <row r="51" spans="1:12" x14ac:dyDescent="0.3">
      <c r="A51" s="372" t="s">
        <v>314</v>
      </c>
      <c r="B51" s="422">
        <v>0</v>
      </c>
      <c r="C51" s="726">
        <v>0</v>
      </c>
      <c r="D51" s="734">
        <v>0</v>
      </c>
      <c r="E51" s="372"/>
      <c r="F51" s="726"/>
      <c r="G51" s="734"/>
      <c r="K51" s="339"/>
      <c r="L51" s="339"/>
    </row>
    <row r="52" spans="1:12" x14ac:dyDescent="0.3">
      <c r="A52" s="372" t="s">
        <v>315</v>
      </c>
      <c r="B52" s="422">
        <v>0</v>
      </c>
      <c r="C52" s="726">
        <v>0</v>
      </c>
      <c r="D52" s="734">
        <v>0</v>
      </c>
      <c r="E52" s="372"/>
      <c r="F52" s="726"/>
      <c r="G52" s="734"/>
      <c r="K52" s="339"/>
      <c r="L52" s="339"/>
    </row>
    <row r="53" spans="1:12" x14ac:dyDescent="0.3">
      <c r="A53" s="372" t="s">
        <v>390</v>
      </c>
      <c r="B53" s="422">
        <v>0</v>
      </c>
      <c r="C53" s="726">
        <v>0</v>
      </c>
      <c r="D53" s="734">
        <v>0</v>
      </c>
      <c r="E53" s="372"/>
      <c r="F53" s="726"/>
      <c r="G53" s="734"/>
      <c r="K53" s="339"/>
      <c r="L53" s="339"/>
    </row>
    <row r="54" spans="1:12" x14ac:dyDescent="0.3">
      <c r="A54" s="526" t="s">
        <v>12</v>
      </c>
      <c r="B54" s="423">
        <v>0</v>
      </c>
      <c r="C54" s="727">
        <v>0</v>
      </c>
      <c r="D54" s="735">
        <v>0</v>
      </c>
      <c r="E54" s="375">
        <v>0</v>
      </c>
      <c r="F54" s="727">
        <v>0</v>
      </c>
      <c r="G54" s="735">
        <v>0</v>
      </c>
      <c r="K54" s="339"/>
      <c r="L54" s="339"/>
    </row>
    <row r="55" spans="1:12" x14ac:dyDescent="0.3">
      <c r="A55" s="372" t="s">
        <v>391</v>
      </c>
      <c r="B55" s="422">
        <v>0</v>
      </c>
      <c r="C55" s="726">
        <v>0</v>
      </c>
      <c r="D55" s="734">
        <v>0</v>
      </c>
      <c r="E55" s="372">
        <v>0</v>
      </c>
      <c r="F55" s="726"/>
      <c r="G55" s="734"/>
      <c r="K55" s="339"/>
      <c r="L55" s="339"/>
    </row>
    <row r="56" spans="1:12" x14ac:dyDescent="0.3">
      <c r="A56" s="372" t="s">
        <v>392</v>
      </c>
      <c r="B56" s="422">
        <v>0</v>
      </c>
      <c r="C56" s="726">
        <v>0</v>
      </c>
      <c r="D56" s="734">
        <v>0</v>
      </c>
      <c r="E56" s="372">
        <v>0</v>
      </c>
      <c r="F56" s="726"/>
      <c r="G56" s="734"/>
      <c r="K56" s="339"/>
      <c r="L56" s="339"/>
    </row>
    <row r="57" spans="1:12" x14ac:dyDescent="0.3">
      <c r="A57" s="372" t="s">
        <v>393</v>
      </c>
      <c r="B57" s="422">
        <v>0</v>
      </c>
      <c r="C57" s="726">
        <v>0</v>
      </c>
      <c r="D57" s="734">
        <v>0</v>
      </c>
      <c r="E57" s="372">
        <v>0</v>
      </c>
      <c r="F57" s="726"/>
      <c r="G57" s="734"/>
      <c r="K57" s="339"/>
      <c r="L57" s="339"/>
    </row>
    <row r="58" spans="1:12" x14ac:dyDescent="0.3">
      <c r="A58" s="372" t="s">
        <v>394</v>
      </c>
      <c r="B58" s="422">
        <v>0</v>
      </c>
      <c r="C58" s="726">
        <v>0</v>
      </c>
      <c r="D58" s="734">
        <v>0</v>
      </c>
      <c r="E58" s="372">
        <v>0</v>
      </c>
      <c r="F58" s="726"/>
      <c r="G58" s="734"/>
      <c r="K58" s="339"/>
      <c r="L58" s="339"/>
    </row>
    <row r="59" spans="1:12" x14ac:dyDescent="0.3">
      <c r="A59" s="413"/>
      <c r="B59" s="424"/>
      <c r="C59" s="728"/>
      <c r="D59" s="736"/>
      <c r="E59" s="377"/>
      <c r="F59" s="728"/>
      <c r="G59" s="736"/>
      <c r="K59" s="339"/>
      <c r="L59" s="339"/>
    </row>
    <row r="60" spans="1:12" x14ac:dyDescent="0.3">
      <c r="K60" s="339"/>
      <c r="L60" s="339"/>
    </row>
    <row r="61" spans="1:12" x14ac:dyDescent="0.3">
      <c r="K61" s="339"/>
      <c r="L61" s="339"/>
    </row>
    <row r="62" spans="1:12" x14ac:dyDescent="0.3">
      <c r="K62" s="339"/>
      <c r="L62" s="339"/>
    </row>
    <row r="63" spans="1:12" x14ac:dyDescent="0.3">
      <c r="K63" s="339"/>
      <c r="L63" s="339"/>
    </row>
    <row r="64" spans="1:12" x14ac:dyDescent="0.3">
      <c r="K64" s="339"/>
      <c r="L64" s="339"/>
    </row>
    <row r="65" spans="1:12" x14ac:dyDescent="0.3">
      <c r="K65" s="339"/>
      <c r="L65" s="339"/>
    </row>
    <row r="66" spans="1:12" x14ac:dyDescent="0.3">
      <c r="K66" s="339"/>
      <c r="L66" s="339"/>
    </row>
    <row r="67" spans="1:12" x14ac:dyDescent="0.3">
      <c r="K67" s="339"/>
      <c r="L67" s="339"/>
    </row>
    <row r="68" spans="1:12" x14ac:dyDescent="0.3">
      <c r="K68" s="339"/>
      <c r="L68" s="339"/>
    </row>
    <row r="69" spans="1:12" x14ac:dyDescent="0.3">
      <c r="K69" s="339"/>
      <c r="L69" s="339"/>
    </row>
    <row r="70" spans="1:12" x14ac:dyDescent="0.3">
      <c r="K70" s="339"/>
      <c r="L70" s="339"/>
    </row>
    <row r="71" spans="1:12" x14ac:dyDescent="0.3">
      <c r="K71" s="339"/>
      <c r="L71" s="339"/>
    </row>
    <row r="72" spans="1:12" x14ac:dyDescent="0.3">
      <c r="K72" s="339"/>
      <c r="L72" s="339"/>
    </row>
    <row r="73" spans="1:12" x14ac:dyDescent="0.3">
      <c r="K73" s="339"/>
      <c r="L73" s="339"/>
    </row>
    <row r="74" spans="1:12" x14ac:dyDescent="0.3">
      <c r="A74" s="3513" t="s">
        <v>0</v>
      </c>
      <c r="B74" s="3515" t="s">
        <v>24</v>
      </c>
      <c r="C74" s="3515"/>
      <c r="D74" s="3515"/>
      <c r="E74" s="3515" t="s">
        <v>23</v>
      </c>
      <c r="F74" s="3515"/>
      <c r="G74" s="3515"/>
      <c r="K74" s="339"/>
      <c r="L74" s="339"/>
    </row>
    <row r="75" spans="1:12" x14ac:dyDescent="0.3">
      <c r="A75" s="3514"/>
      <c r="B75" s="418" t="s">
        <v>28</v>
      </c>
      <c r="C75" s="723" t="s">
        <v>34</v>
      </c>
      <c r="D75" s="731" t="s">
        <v>62</v>
      </c>
      <c r="E75" s="380" t="s">
        <v>28</v>
      </c>
      <c r="F75" s="723" t="s">
        <v>34</v>
      </c>
      <c r="G75" s="731" t="s">
        <v>62</v>
      </c>
      <c r="K75" s="339"/>
      <c r="L75" s="339"/>
    </row>
    <row r="76" spans="1:12" ht="19.5" thickBot="1" x14ac:dyDescent="0.35">
      <c r="A76" s="419" t="s">
        <v>28</v>
      </c>
      <c r="B76" s="420">
        <v>0</v>
      </c>
      <c r="C76" s="724">
        <v>0</v>
      </c>
      <c r="D76" s="732">
        <v>0</v>
      </c>
      <c r="E76" s="367">
        <v>0</v>
      </c>
      <c r="F76" s="724">
        <v>0</v>
      </c>
      <c r="G76" s="732">
        <v>0</v>
      </c>
      <c r="K76" s="339"/>
      <c r="L76" s="339"/>
    </row>
    <row r="77" spans="1:12" ht="19.5" thickTop="1" x14ac:dyDescent="0.3">
      <c r="A77" s="369" t="s">
        <v>7</v>
      </c>
      <c r="B77" s="421">
        <v>0</v>
      </c>
      <c r="C77" s="725">
        <v>0</v>
      </c>
      <c r="D77" s="733">
        <v>0</v>
      </c>
      <c r="E77" s="370">
        <v>0</v>
      </c>
      <c r="F77" s="725">
        <v>0</v>
      </c>
      <c r="G77" s="733">
        <v>0</v>
      </c>
      <c r="K77" s="339"/>
      <c r="L77" s="339"/>
    </row>
    <row r="78" spans="1:12" s="596" customFormat="1" x14ac:dyDescent="0.3">
      <c r="A78" s="744" t="s">
        <v>8</v>
      </c>
      <c r="B78" s="745">
        <v>0</v>
      </c>
      <c r="C78" s="743"/>
      <c r="D78" s="741"/>
      <c r="E78" s="373">
        <v>0</v>
      </c>
      <c r="F78" s="743"/>
      <c r="G78" s="741"/>
      <c r="I78" s="339"/>
      <c r="J78" s="339"/>
      <c r="K78" s="339"/>
      <c r="L78" s="339"/>
    </row>
    <row r="79" spans="1:12" x14ac:dyDescent="0.3">
      <c r="A79" s="398" t="s">
        <v>306</v>
      </c>
      <c r="B79" s="422">
        <v>0</v>
      </c>
      <c r="C79" s="743"/>
      <c r="D79" s="741"/>
      <c r="E79" s="372">
        <v>0</v>
      </c>
      <c r="F79" s="743"/>
      <c r="G79" s="741"/>
      <c r="K79" s="339"/>
      <c r="L79" s="339"/>
    </row>
    <row r="80" spans="1:12" x14ac:dyDescent="0.3">
      <c r="A80" s="372"/>
      <c r="B80" s="422"/>
      <c r="C80" s="726"/>
      <c r="D80" s="734"/>
      <c r="E80" s="372"/>
      <c r="F80" s="726"/>
      <c r="G80" s="734"/>
      <c r="K80" s="339"/>
      <c r="L80" s="339"/>
    </row>
    <row r="81" spans="1:12" x14ac:dyDescent="0.3">
      <c r="A81" s="526" t="s">
        <v>9</v>
      </c>
      <c r="B81" s="423">
        <v>0</v>
      </c>
      <c r="C81" s="727">
        <v>0</v>
      </c>
      <c r="D81" s="735">
        <v>0</v>
      </c>
      <c r="E81" s="375">
        <v>0</v>
      </c>
      <c r="F81" s="727">
        <v>0</v>
      </c>
      <c r="G81" s="735">
        <v>0</v>
      </c>
      <c r="K81" s="339"/>
      <c r="L81" s="339"/>
    </row>
    <row r="82" spans="1:12" x14ac:dyDescent="0.3">
      <c r="A82" s="372" t="s">
        <v>308</v>
      </c>
      <c r="B82" s="422">
        <v>0</v>
      </c>
      <c r="C82" s="743"/>
      <c r="D82" s="741"/>
      <c r="E82" s="372">
        <v>0</v>
      </c>
      <c r="F82" s="743"/>
      <c r="G82" s="741"/>
      <c r="K82" s="339"/>
      <c r="L82" s="339"/>
    </row>
    <row r="83" spans="1:12" x14ac:dyDescent="0.3">
      <c r="A83" s="372" t="s">
        <v>309</v>
      </c>
      <c r="B83" s="422">
        <v>0</v>
      </c>
      <c r="C83" s="743"/>
      <c r="D83" s="741"/>
      <c r="E83" s="372">
        <v>0</v>
      </c>
      <c r="F83" s="743"/>
      <c r="G83" s="741"/>
      <c r="K83" s="339"/>
      <c r="L83" s="339"/>
    </row>
    <row r="84" spans="1:12" x14ac:dyDescent="0.3">
      <c r="A84" s="372" t="s">
        <v>310</v>
      </c>
      <c r="B84" s="422">
        <v>0</v>
      </c>
      <c r="C84" s="743"/>
      <c r="D84" s="741"/>
      <c r="E84" s="372">
        <v>0</v>
      </c>
      <c r="F84" s="743"/>
      <c r="G84" s="741"/>
      <c r="K84" s="339"/>
      <c r="L84" s="339"/>
    </row>
    <row r="85" spans="1:12" x14ac:dyDescent="0.3">
      <c r="A85" s="372" t="s">
        <v>311</v>
      </c>
      <c r="B85" s="422">
        <v>0</v>
      </c>
      <c r="C85" s="743"/>
      <c r="D85" s="741"/>
      <c r="E85" s="372">
        <v>0</v>
      </c>
      <c r="F85" s="743"/>
      <c r="G85" s="741"/>
      <c r="K85" s="339"/>
      <c r="L85" s="339"/>
    </row>
    <row r="86" spans="1:12" x14ac:dyDescent="0.3">
      <c r="A86" s="372" t="s">
        <v>312</v>
      </c>
      <c r="B86" s="422">
        <v>0</v>
      </c>
      <c r="C86" s="743"/>
      <c r="D86" s="741"/>
      <c r="E86" s="372">
        <v>0</v>
      </c>
      <c r="F86" s="743"/>
      <c r="G86" s="741"/>
      <c r="K86" s="339"/>
      <c r="L86" s="339"/>
    </row>
    <row r="87" spans="1:12" x14ac:dyDescent="0.3">
      <c r="A87" s="372" t="s">
        <v>313</v>
      </c>
      <c r="B87" s="422">
        <v>0</v>
      </c>
      <c r="C87" s="743"/>
      <c r="D87" s="741"/>
      <c r="E87" s="372">
        <v>0</v>
      </c>
      <c r="F87" s="743"/>
      <c r="G87" s="741"/>
      <c r="K87" s="339"/>
      <c r="L87" s="339"/>
    </row>
    <row r="88" spans="1:12" x14ac:dyDescent="0.3">
      <c r="A88" s="372" t="s">
        <v>314</v>
      </c>
      <c r="B88" s="422">
        <v>0</v>
      </c>
      <c r="C88" s="743"/>
      <c r="D88" s="741"/>
      <c r="E88" s="372"/>
      <c r="F88" s="743"/>
      <c r="G88" s="741"/>
      <c r="K88" s="339"/>
      <c r="L88" s="339"/>
    </row>
    <row r="89" spans="1:12" x14ac:dyDescent="0.3">
      <c r="A89" s="372" t="s">
        <v>315</v>
      </c>
      <c r="B89" s="422">
        <v>0</v>
      </c>
      <c r="C89" s="743"/>
      <c r="D89" s="741"/>
      <c r="E89" s="372"/>
      <c r="F89" s="743"/>
      <c r="G89" s="741"/>
      <c r="K89" s="339"/>
      <c r="L89" s="339"/>
    </row>
    <row r="90" spans="1:12" x14ac:dyDescent="0.3">
      <c r="A90" s="372" t="s">
        <v>390</v>
      </c>
      <c r="B90" s="422"/>
      <c r="C90" s="726"/>
      <c r="D90" s="734"/>
      <c r="E90" s="372"/>
      <c r="F90" s="726"/>
      <c r="G90" s="734"/>
      <c r="K90" s="339"/>
      <c r="L90" s="339"/>
    </row>
    <row r="91" spans="1:12" x14ac:dyDescent="0.3">
      <c r="A91" s="526" t="s">
        <v>12</v>
      </c>
      <c r="B91" s="423">
        <v>0</v>
      </c>
      <c r="C91" s="727">
        <v>0</v>
      </c>
      <c r="D91" s="735">
        <v>0</v>
      </c>
      <c r="E91" s="375">
        <v>0</v>
      </c>
      <c r="F91" s="727">
        <v>0</v>
      </c>
      <c r="G91" s="735">
        <v>0</v>
      </c>
      <c r="K91" s="339"/>
      <c r="L91" s="339"/>
    </row>
    <row r="92" spans="1:12" s="339" customFormat="1" x14ac:dyDescent="0.3">
      <c r="A92" s="372" t="s">
        <v>391</v>
      </c>
      <c r="B92" s="372">
        <v>0</v>
      </c>
      <c r="C92" s="743"/>
      <c r="D92" s="741"/>
      <c r="E92" s="372">
        <v>0</v>
      </c>
      <c r="F92" s="743"/>
      <c r="G92" s="741"/>
    </row>
    <row r="93" spans="1:12" s="339" customFormat="1" x14ac:dyDescent="0.3">
      <c r="A93" s="372" t="s">
        <v>392</v>
      </c>
      <c r="B93" s="372">
        <v>0</v>
      </c>
      <c r="C93" s="743"/>
      <c r="D93" s="741"/>
      <c r="E93" s="372">
        <v>0</v>
      </c>
      <c r="F93" s="743"/>
      <c r="G93" s="741"/>
    </row>
    <row r="94" spans="1:12" s="339" customFormat="1" x14ac:dyDescent="0.3">
      <c r="A94" s="372" t="s">
        <v>393</v>
      </c>
      <c r="B94" s="372">
        <v>0</v>
      </c>
      <c r="C94" s="743"/>
      <c r="D94" s="741"/>
      <c r="E94" s="372">
        <v>0</v>
      </c>
      <c r="F94" s="743"/>
      <c r="G94" s="741"/>
    </row>
    <row r="95" spans="1:12" s="339" customFormat="1" x14ac:dyDescent="0.3">
      <c r="A95" s="372" t="s">
        <v>394</v>
      </c>
      <c r="B95" s="372">
        <v>0</v>
      </c>
      <c r="C95" s="743"/>
      <c r="D95" s="741"/>
      <c r="E95" s="372">
        <v>0</v>
      </c>
      <c r="F95" s="743"/>
      <c r="G95" s="741"/>
    </row>
    <row r="96" spans="1:12" s="379" customFormat="1" x14ac:dyDescent="0.3">
      <c r="A96" s="373" t="s">
        <v>405</v>
      </c>
      <c r="B96" s="373">
        <v>0</v>
      </c>
      <c r="C96" s="743"/>
      <c r="D96" s="741"/>
      <c r="E96" s="373">
        <v>0</v>
      </c>
      <c r="F96" s="726"/>
      <c r="G96" s="741"/>
      <c r="I96" s="339"/>
      <c r="J96" s="339"/>
      <c r="K96" s="339"/>
      <c r="L96" s="339"/>
    </row>
    <row r="97" spans="1:12" s="379" customFormat="1" x14ac:dyDescent="0.3">
      <c r="A97" s="373" t="s">
        <v>406</v>
      </c>
      <c r="B97" s="373"/>
      <c r="C97" s="743"/>
      <c r="D97" s="741"/>
      <c r="E97" s="373">
        <v>0</v>
      </c>
      <c r="F97" s="743"/>
      <c r="G97" s="741"/>
      <c r="I97" s="339"/>
      <c r="J97" s="339"/>
      <c r="K97" s="339"/>
      <c r="L97" s="339"/>
    </row>
    <row r="98" spans="1:12" s="379" customFormat="1" x14ac:dyDescent="0.3">
      <c r="A98" s="373" t="s">
        <v>407</v>
      </c>
      <c r="B98" s="373"/>
      <c r="C98" s="743"/>
      <c r="D98" s="741"/>
      <c r="E98" s="373">
        <v>0</v>
      </c>
      <c r="F98" s="743"/>
      <c r="G98" s="741"/>
      <c r="I98" s="339"/>
      <c r="J98" s="339"/>
      <c r="K98" s="339"/>
      <c r="L98" s="339"/>
    </row>
    <row r="99" spans="1:12" s="379" customFormat="1" x14ac:dyDescent="0.3">
      <c r="A99" s="373" t="s">
        <v>408</v>
      </c>
      <c r="B99" s="373"/>
      <c r="C99" s="743"/>
      <c r="D99" s="741"/>
      <c r="E99" s="373">
        <v>0</v>
      </c>
      <c r="F99" s="743"/>
      <c r="G99" s="741"/>
      <c r="I99" s="339"/>
      <c r="J99" s="339"/>
      <c r="K99" s="339"/>
      <c r="L99" s="339"/>
    </row>
    <row r="100" spans="1:12" s="721" customFormat="1" x14ac:dyDescent="0.3">
      <c r="A100" s="378"/>
      <c r="B100" s="378"/>
      <c r="C100" s="746"/>
      <c r="D100" s="749"/>
      <c r="E100" s="378"/>
      <c r="F100" s="746"/>
      <c r="G100" s="749"/>
      <c r="I100" s="339"/>
      <c r="J100" s="339"/>
      <c r="K100" s="339"/>
      <c r="L100" s="339"/>
    </row>
    <row r="101" spans="1:12" s="339" customFormat="1" x14ac:dyDescent="0.3"/>
    <row r="102" spans="1:12" s="339" customFormat="1" x14ac:dyDescent="0.3"/>
    <row r="103" spans="1:12" x14ac:dyDescent="0.3">
      <c r="K103" s="339"/>
      <c r="L103" s="339"/>
    </row>
    <row r="104" spans="1:12" x14ac:dyDescent="0.3">
      <c r="K104" s="339"/>
      <c r="L104" s="339"/>
    </row>
    <row r="105" spans="1:12" x14ac:dyDescent="0.3">
      <c r="K105" s="339"/>
      <c r="L105" s="339"/>
    </row>
    <row r="106" spans="1:12" x14ac:dyDescent="0.3">
      <c r="K106" s="339"/>
      <c r="L106" s="339"/>
    </row>
    <row r="107" spans="1:12" x14ac:dyDescent="0.3">
      <c r="K107" s="339"/>
      <c r="L107" s="339"/>
    </row>
    <row r="108" spans="1:12" x14ac:dyDescent="0.3">
      <c r="K108" s="339"/>
      <c r="L108" s="339"/>
    </row>
    <row r="109" spans="1:12" x14ac:dyDescent="0.3">
      <c r="K109" s="339"/>
      <c r="L109" s="339"/>
    </row>
    <row r="110" spans="1:12" x14ac:dyDescent="0.3">
      <c r="K110" s="339"/>
      <c r="L110" s="339"/>
    </row>
    <row r="111" spans="1:12" x14ac:dyDescent="0.3">
      <c r="K111" s="339"/>
      <c r="L111" s="339"/>
    </row>
    <row r="112" spans="1:12" x14ac:dyDescent="0.3">
      <c r="K112" s="339"/>
      <c r="L112" s="339"/>
    </row>
    <row r="113" spans="1:12" x14ac:dyDescent="0.3">
      <c r="K113" s="339"/>
      <c r="L113" s="339"/>
    </row>
    <row r="114" spans="1:12" x14ac:dyDescent="0.3">
      <c r="K114" s="339"/>
      <c r="L114" s="339"/>
    </row>
    <row r="115" spans="1:12" x14ac:dyDescent="0.3">
      <c r="A115" s="3513" t="s">
        <v>0</v>
      </c>
      <c r="B115" s="3515" t="s">
        <v>4</v>
      </c>
      <c r="C115" s="3515"/>
      <c r="D115" s="3515"/>
      <c r="E115" s="3515" t="s">
        <v>20</v>
      </c>
      <c r="F115" s="3515"/>
      <c r="G115" s="3515"/>
      <c r="K115" s="339"/>
      <c r="L115" s="339"/>
    </row>
    <row r="116" spans="1:12" x14ac:dyDescent="0.3">
      <c r="A116" s="3514"/>
      <c r="B116" s="418" t="s">
        <v>28</v>
      </c>
      <c r="C116" s="723" t="s">
        <v>34</v>
      </c>
      <c r="D116" s="731" t="s">
        <v>62</v>
      </c>
      <c r="E116" s="380" t="s">
        <v>28</v>
      </c>
      <c r="F116" s="723" t="s">
        <v>34</v>
      </c>
      <c r="G116" s="731" t="s">
        <v>62</v>
      </c>
      <c r="K116" s="339"/>
      <c r="L116" s="339"/>
    </row>
    <row r="117" spans="1:12" ht="19.5" thickBot="1" x14ac:dyDescent="0.35">
      <c r="A117" s="419" t="s">
        <v>28</v>
      </c>
      <c r="B117" s="420">
        <v>0</v>
      </c>
      <c r="C117" s="724">
        <v>0</v>
      </c>
      <c r="D117" s="732">
        <v>0</v>
      </c>
      <c r="E117" s="367">
        <v>0</v>
      </c>
      <c r="F117" s="724">
        <v>0</v>
      </c>
      <c r="G117" s="732">
        <v>0</v>
      </c>
      <c r="K117" s="339"/>
      <c r="L117" s="339"/>
    </row>
    <row r="118" spans="1:12" ht="19.5" thickTop="1" x14ac:dyDescent="0.3">
      <c r="A118" s="369" t="s">
        <v>7</v>
      </c>
      <c r="B118" s="421">
        <v>0</v>
      </c>
      <c r="C118" s="725">
        <v>0</v>
      </c>
      <c r="D118" s="733">
        <v>0</v>
      </c>
      <c r="E118" s="370">
        <v>0</v>
      </c>
      <c r="F118" s="725">
        <v>0</v>
      </c>
      <c r="G118" s="733">
        <v>0</v>
      </c>
      <c r="K118" s="339"/>
      <c r="L118" s="339"/>
    </row>
    <row r="119" spans="1:12" x14ac:dyDescent="0.3">
      <c r="A119" s="398" t="s">
        <v>8</v>
      </c>
      <c r="B119" s="422">
        <v>0</v>
      </c>
      <c r="C119" s="726"/>
      <c r="D119" s="734"/>
      <c r="E119" s="372">
        <v>0</v>
      </c>
      <c r="F119" s="726"/>
      <c r="G119" s="734"/>
      <c r="K119" s="339"/>
      <c r="L119" s="339"/>
    </row>
    <row r="120" spans="1:12" x14ac:dyDescent="0.3">
      <c r="A120" s="398" t="s">
        <v>306</v>
      </c>
      <c r="B120" s="422">
        <v>0</v>
      </c>
      <c r="C120" s="726"/>
      <c r="D120" s="734"/>
      <c r="E120" s="372">
        <v>0</v>
      </c>
      <c r="F120" s="726"/>
      <c r="G120" s="734"/>
      <c r="K120" s="339"/>
      <c r="L120" s="339"/>
    </row>
    <row r="121" spans="1:12" x14ac:dyDescent="0.3">
      <c r="A121" s="372"/>
      <c r="B121" s="422"/>
      <c r="C121" s="726"/>
      <c r="D121" s="734"/>
      <c r="E121" s="372">
        <v>0</v>
      </c>
      <c r="F121" s="726"/>
      <c r="G121" s="734"/>
      <c r="K121" s="339"/>
      <c r="L121" s="339"/>
    </row>
    <row r="122" spans="1:12" x14ac:dyDescent="0.3">
      <c r="A122" s="526" t="s">
        <v>9</v>
      </c>
      <c r="B122" s="422">
        <v>0</v>
      </c>
      <c r="C122" s="728">
        <v>0</v>
      </c>
      <c r="D122" s="736">
        <v>0</v>
      </c>
      <c r="E122" s="372">
        <v>0</v>
      </c>
      <c r="F122" s="728">
        <v>0</v>
      </c>
      <c r="G122" s="736">
        <v>0</v>
      </c>
      <c r="K122" s="339"/>
      <c r="L122" s="339"/>
    </row>
    <row r="123" spans="1:12" x14ac:dyDescent="0.3">
      <c r="A123" s="372" t="s">
        <v>308</v>
      </c>
      <c r="B123" s="933">
        <v>0</v>
      </c>
      <c r="C123" s="726"/>
      <c r="D123" s="734"/>
      <c r="E123" s="1203">
        <v>0</v>
      </c>
      <c r="F123" s="726">
        <v>0</v>
      </c>
      <c r="G123" s="734">
        <v>0</v>
      </c>
      <c r="K123" s="339"/>
      <c r="L123" s="339"/>
    </row>
    <row r="124" spans="1:12" x14ac:dyDescent="0.3">
      <c r="A124" s="372" t="s">
        <v>309</v>
      </c>
      <c r="B124" s="422">
        <v>0</v>
      </c>
      <c r="C124" s="726"/>
      <c r="D124" s="734"/>
      <c r="E124" s="372">
        <v>0</v>
      </c>
      <c r="F124" s="726"/>
      <c r="G124" s="734"/>
      <c r="K124" s="339"/>
      <c r="L124" s="339"/>
    </row>
    <row r="125" spans="1:12" x14ac:dyDescent="0.3">
      <c r="A125" s="372" t="s">
        <v>310</v>
      </c>
      <c r="B125" s="422">
        <v>0</v>
      </c>
      <c r="C125" s="726"/>
      <c r="D125" s="734"/>
      <c r="E125" s="372">
        <v>0</v>
      </c>
      <c r="F125" s="726"/>
      <c r="G125" s="734"/>
      <c r="K125" s="339"/>
      <c r="L125" s="339"/>
    </row>
    <row r="126" spans="1:12" x14ac:dyDescent="0.3">
      <c r="A126" s="372" t="s">
        <v>311</v>
      </c>
      <c r="B126" s="422">
        <v>0</v>
      </c>
      <c r="C126" s="726"/>
      <c r="D126" s="734"/>
      <c r="E126" s="372">
        <v>0</v>
      </c>
      <c r="F126" s="726"/>
      <c r="G126" s="734"/>
      <c r="K126" s="339"/>
      <c r="L126" s="339"/>
    </row>
    <row r="127" spans="1:12" x14ac:dyDescent="0.3">
      <c r="A127" s="372" t="s">
        <v>312</v>
      </c>
      <c r="B127" s="422">
        <v>0</v>
      </c>
      <c r="C127" s="726"/>
      <c r="D127" s="734"/>
      <c r="E127" s="372">
        <v>0</v>
      </c>
      <c r="F127" s="726"/>
      <c r="G127" s="734"/>
      <c r="K127" s="339"/>
      <c r="L127" s="339"/>
    </row>
    <row r="128" spans="1:12" x14ac:dyDescent="0.3">
      <c r="A128" s="372" t="s">
        <v>313</v>
      </c>
      <c r="B128" s="422">
        <v>0</v>
      </c>
      <c r="C128" s="726"/>
      <c r="D128" s="734"/>
      <c r="E128" s="372">
        <v>0</v>
      </c>
      <c r="F128" s="726"/>
      <c r="G128" s="734"/>
      <c r="K128" s="339"/>
      <c r="L128" s="339"/>
    </row>
    <row r="129" spans="1:12" x14ac:dyDescent="0.3">
      <c r="A129" s="372" t="s">
        <v>314</v>
      </c>
      <c r="B129" s="422">
        <v>0</v>
      </c>
      <c r="C129" s="726"/>
      <c r="D129" s="734"/>
      <c r="E129" s="372">
        <v>0</v>
      </c>
      <c r="F129" s="726"/>
      <c r="G129" s="734"/>
      <c r="K129" s="339"/>
      <c r="L129" s="339"/>
    </row>
    <row r="130" spans="1:12" x14ac:dyDescent="0.3">
      <c r="A130" s="372" t="s">
        <v>315</v>
      </c>
      <c r="B130" s="422">
        <v>0</v>
      </c>
      <c r="C130" s="726"/>
      <c r="D130" s="734"/>
      <c r="E130" s="372"/>
      <c r="F130" s="726"/>
      <c r="G130" s="734"/>
      <c r="K130" s="339"/>
      <c r="L130" s="339"/>
    </row>
    <row r="131" spans="1:12" x14ac:dyDescent="0.3">
      <c r="A131" s="372"/>
      <c r="B131" s="935"/>
      <c r="C131" s="936"/>
      <c r="D131" s="937"/>
      <c r="E131" s="526"/>
      <c r="F131" s="936"/>
      <c r="G131" s="937"/>
      <c r="K131" s="339"/>
      <c r="L131" s="339"/>
    </row>
    <row r="132" spans="1:12" x14ac:dyDescent="0.3">
      <c r="A132" s="526" t="s">
        <v>12</v>
      </c>
      <c r="B132" s="424">
        <v>0</v>
      </c>
      <c r="C132" s="728">
        <v>0</v>
      </c>
      <c r="D132" s="736">
        <v>0</v>
      </c>
      <c r="E132" s="377">
        <v>0</v>
      </c>
      <c r="F132" s="728">
        <v>0</v>
      </c>
      <c r="G132" s="736">
        <v>0</v>
      </c>
      <c r="K132" s="339"/>
      <c r="L132" s="339"/>
    </row>
    <row r="133" spans="1:12" x14ac:dyDescent="0.3">
      <c r="A133" s="372" t="s">
        <v>316</v>
      </c>
      <c r="B133" s="422">
        <v>0</v>
      </c>
      <c r="C133" s="726"/>
      <c r="D133" s="734"/>
      <c r="E133" s="372">
        <v>0</v>
      </c>
      <c r="F133" s="726"/>
      <c r="G133" s="734"/>
      <c r="K133" s="339"/>
      <c r="L133" s="339"/>
    </row>
    <row r="134" spans="1:12" x14ac:dyDescent="0.3">
      <c r="A134" s="372" t="s">
        <v>317</v>
      </c>
      <c r="B134" s="422">
        <v>0</v>
      </c>
      <c r="C134" s="726"/>
      <c r="D134" s="734"/>
      <c r="E134" s="372">
        <v>0</v>
      </c>
      <c r="F134" s="726"/>
      <c r="G134" s="734"/>
      <c r="K134" s="339"/>
      <c r="L134" s="339"/>
    </row>
    <row r="135" spans="1:12" x14ac:dyDescent="0.3">
      <c r="A135" s="372" t="s">
        <v>318</v>
      </c>
      <c r="B135" s="422">
        <v>0</v>
      </c>
      <c r="C135" s="726"/>
      <c r="D135" s="734"/>
      <c r="E135" s="372">
        <v>0</v>
      </c>
      <c r="F135" s="726"/>
      <c r="G135" s="734"/>
      <c r="K135" s="339"/>
      <c r="L135" s="339"/>
    </row>
    <row r="136" spans="1:12" x14ac:dyDescent="0.3">
      <c r="A136" s="372" t="s">
        <v>319</v>
      </c>
      <c r="B136" s="422">
        <v>0</v>
      </c>
      <c r="C136" s="726"/>
      <c r="D136" s="734"/>
      <c r="E136" s="372">
        <v>0</v>
      </c>
      <c r="F136" s="726"/>
      <c r="G136" s="734"/>
      <c r="K136" s="339"/>
      <c r="L136" s="339"/>
    </row>
    <row r="137" spans="1:12" x14ac:dyDescent="0.3">
      <c r="A137" s="413"/>
      <c r="B137" s="424"/>
      <c r="C137" s="728"/>
      <c r="D137" s="736"/>
      <c r="E137" s="377"/>
      <c r="F137" s="728"/>
      <c r="G137" s="736"/>
      <c r="K137" s="339"/>
      <c r="L137" s="339"/>
    </row>
    <row r="138" spans="1:12" x14ac:dyDescent="0.3">
      <c r="K138" s="339"/>
      <c r="L138" s="339"/>
    </row>
    <row r="139" spans="1:12" x14ac:dyDescent="0.3">
      <c r="K139" s="339"/>
      <c r="L139" s="339"/>
    </row>
    <row r="140" spans="1:12" x14ac:dyDescent="0.3">
      <c r="K140" s="339"/>
      <c r="L140" s="339"/>
    </row>
    <row r="141" spans="1:12" x14ac:dyDescent="0.3">
      <c r="K141" s="339"/>
      <c r="L141" s="339"/>
    </row>
    <row r="142" spans="1:12" x14ac:dyDescent="0.3">
      <c r="K142" s="339"/>
      <c r="L142" s="339"/>
    </row>
    <row r="143" spans="1:12" x14ac:dyDescent="0.3">
      <c r="K143" s="339"/>
      <c r="L143" s="339"/>
    </row>
    <row r="144" spans="1:12" x14ac:dyDescent="0.3">
      <c r="K144" s="339"/>
      <c r="L144" s="339"/>
    </row>
    <row r="145" spans="1:12" x14ac:dyDescent="0.3">
      <c r="K145" s="339"/>
      <c r="L145" s="339"/>
    </row>
    <row r="146" spans="1:12" x14ac:dyDescent="0.3">
      <c r="K146" s="339"/>
      <c r="L146" s="339"/>
    </row>
    <row r="147" spans="1:12" x14ac:dyDescent="0.3">
      <c r="K147" s="339"/>
      <c r="L147" s="339"/>
    </row>
    <row r="148" spans="1:12" x14ac:dyDescent="0.3">
      <c r="K148" s="339"/>
      <c r="L148" s="339"/>
    </row>
    <row r="149" spans="1:12" x14ac:dyDescent="0.3">
      <c r="K149" s="339"/>
      <c r="L149" s="339"/>
    </row>
    <row r="150" spans="1:12" x14ac:dyDescent="0.3">
      <c r="K150" s="339"/>
      <c r="L150" s="339"/>
    </row>
    <row r="151" spans="1:12" x14ac:dyDescent="0.3">
      <c r="K151" s="339"/>
      <c r="L151" s="339"/>
    </row>
    <row r="152" spans="1:12" x14ac:dyDescent="0.3">
      <c r="A152" s="3513" t="s">
        <v>0</v>
      </c>
      <c r="B152" s="3515" t="s">
        <v>5</v>
      </c>
      <c r="C152" s="3515"/>
      <c r="D152" s="3515"/>
      <c r="E152" s="3515" t="s">
        <v>21</v>
      </c>
      <c r="F152" s="3515"/>
      <c r="G152" s="3515"/>
      <c r="K152" s="339"/>
      <c r="L152" s="339"/>
    </row>
    <row r="153" spans="1:12" x14ac:dyDescent="0.3">
      <c r="A153" s="3514"/>
      <c r="B153" s="418" t="s">
        <v>28</v>
      </c>
      <c r="C153" s="723" t="s">
        <v>34</v>
      </c>
      <c r="D153" s="731" t="s">
        <v>62</v>
      </c>
      <c r="E153" s="380" t="s">
        <v>28</v>
      </c>
      <c r="F153" s="723" t="s">
        <v>34</v>
      </c>
      <c r="G153" s="731" t="s">
        <v>62</v>
      </c>
      <c r="K153" s="339"/>
      <c r="L153" s="339"/>
    </row>
    <row r="154" spans="1:12" ht="19.5" thickBot="1" x14ac:dyDescent="0.35">
      <c r="A154" s="419" t="s">
        <v>28</v>
      </c>
      <c r="B154" s="420">
        <v>0</v>
      </c>
      <c r="C154" s="724">
        <v>0</v>
      </c>
      <c r="D154" s="732">
        <v>0</v>
      </c>
      <c r="E154" s="368">
        <v>0</v>
      </c>
      <c r="F154" s="747">
        <v>0</v>
      </c>
      <c r="G154" s="732">
        <v>0</v>
      </c>
      <c r="K154" s="339"/>
      <c r="L154" s="339"/>
    </row>
    <row r="155" spans="1:12" ht="19.5" thickTop="1" x14ac:dyDescent="0.3">
      <c r="A155" s="369" t="s">
        <v>7</v>
      </c>
      <c r="B155" s="421">
        <v>0</v>
      </c>
      <c r="C155" s="725">
        <v>0</v>
      </c>
      <c r="D155" s="733">
        <v>0</v>
      </c>
      <c r="E155" s="370">
        <v>0</v>
      </c>
      <c r="F155" s="725">
        <v>0</v>
      </c>
      <c r="G155" s="733">
        <v>0</v>
      </c>
      <c r="K155" s="339"/>
      <c r="L155" s="339"/>
    </row>
    <row r="156" spans="1:12" x14ac:dyDescent="0.3">
      <c r="A156" s="398" t="s">
        <v>8</v>
      </c>
      <c r="B156" s="422">
        <v>0</v>
      </c>
      <c r="C156" s="726">
        <v>0</v>
      </c>
      <c r="D156" s="734">
        <v>0</v>
      </c>
      <c r="E156" s="372">
        <v>0</v>
      </c>
      <c r="F156" s="726"/>
      <c r="G156" s="734"/>
      <c r="K156" s="339"/>
      <c r="L156" s="339"/>
    </row>
    <row r="157" spans="1:12" x14ac:dyDescent="0.3">
      <c r="A157" s="398" t="s">
        <v>306</v>
      </c>
      <c r="B157" s="422">
        <v>0</v>
      </c>
      <c r="C157" s="726">
        <v>0</v>
      </c>
      <c r="D157" s="734">
        <v>0</v>
      </c>
      <c r="E157" s="372">
        <v>0</v>
      </c>
      <c r="F157" s="726"/>
      <c r="G157" s="734"/>
      <c r="K157" s="339"/>
      <c r="L157" s="339"/>
    </row>
    <row r="158" spans="1:12" x14ac:dyDescent="0.3">
      <c r="A158" s="372"/>
      <c r="B158" s="422"/>
      <c r="C158" s="726"/>
      <c r="D158" s="734"/>
      <c r="E158" s="372"/>
      <c r="F158" s="726"/>
      <c r="G158" s="734"/>
      <c r="K158" s="339"/>
      <c r="L158" s="339"/>
    </row>
    <row r="159" spans="1:12" x14ac:dyDescent="0.3">
      <c r="A159" s="526" t="s">
        <v>9</v>
      </c>
      <c r="B159" s="425">
        <v>0</v>
      </c>
      <c r="C159" s="727">
        <v>0</v>
      </c>
      <c r="D159" s="738">
        <v>0</v>
      </c>
      <c r="E159" s="375">
        <v>0</v>
      </c>
      <c r="F159" s="727">
        <v>0</v>
      </c>
      <c r="G159" s="735">
        <v>0</v>
      </c>
      <c r="K159" s="339"/>
      <c r="L159" s="339"/>
    </row>
    <row r="160" spans="1:12" x14ac:dyDescent="0.3">
      <c r="A160" s="372" t="s">
        <v>308</v>
      </c>
      <c r="B160" s="426">
        <v>0</v>
      </c>
      <c r="C160" s="726">
        <v>0</v>
      </c>
      <c r="D160" s="734">
        <v>0</v>
      </c>
      <c r="E160" s="372">
        <v>0</v>
      </c>
      <c r="F160" s="726"/>
      <c r="G160" s="734"/>
      <c r="K160" s="339"/>
      <c r="L160" s="339"/>
    </row>
    <row r="161" spans="1:12" x14ac:dyDescent="0.3">
      <c r="A161" s="372" t="s">
        <v>309</v>
      </c>
      <c r="B161" s="422">
        <v>0</v>
      </c>
      <c r="C161" s="726">
        <v>0</v>
      </c>
      <c r="D161" s="734">
        <v>0</v>
      </c>
      <c r="E161" s="372">
        <v>0</v>
      </c>
      <c r="F161" s="726"/>
      <c r="G161" s="734"/>
      <c r="K161" s="339"/>
      <c r="L161" s="339"/>
    </row>
    <row r="162" spans="1:12" x14ac:dyDescent="0.3">
      <c r="A162" s="372" t="s">
        <v>310</v>
      </c>
      <c r="B162" s="422">
        <v>0</v>
      </c>
      <c r="C162" s="726">
        <v>0</v>
      </c>
      <c r="D162" s="734">
        <v>0</v>
      </c>
      <c r="E162" s="372">
        <v>0</v>
      </c>
      <c r="F162" s="726"/>
      <c r="G162" s="734"/>
      <c r="K162" s="339"/>
      <c r="L162" s="339"/>
    </row>
    <row r="163" spans="1:12" x14ac:dyDescent="0.3">
      <c r="A163" s="372" t="s">
        <v>311</v>
      </c>
      <c r="B163" s="422">
        <v>0</v>
      </c>
      <c r="C163" s="726">
        <v>0</v>
      </c>
      <c r="D163" s="734">
        <v>0</v>
      </c>
      <c r="E163" s="372">
        <v>0</v>
      </c>
      <c r="F163" s="726"/>
      <c r="G163" s="734"/>
      <c r="K163" s="339"/>
      <c r="L163" s="339"/>
    </row>
    <row r="164" spans="1:12" x14ac:dyDescent="0.3">
      <c r="A164" s="372" t="s">
        <v>312</v>
      </c>
      <c r="B164" s="422">
        <v>0</v>
      </c>
      <c r="C164" s="726">
        <v>0</v>
      </c>
      <c r="D164" s="734">
        <v>0</v>
      </c>
      <c r="E164" s="372">
        <v>0</v>
      </c>
      <c r="F164" s="726"/>
      <c r="G164" s="734"/>
      <c r="K164" s="339"/>
      <c r="L164" s="339"/>
    </row>
    <row r="165" spans="1:12" x14ac:dyDescent="0.3">
      <c r="A165" s="372" t="s">
        <v>313</v>
      </c>
      <c r="B165" s="422">
        <v>0</v>
      </c>
      <c r="C165" s="726">
        <v>0</v>
      </c>
      <c r="D165" s="734">
        <v>0</v>
      </c>
      <c r="E165" s="372">
        <v>0</v>
      </c>
      <c r="F165" s="726"/>
      <c r="G165" s="734"/>
      <c r="K165" s="339"/>
      <c r="L165" s="339"/>
    </row>
    <row r="166" spans="1:12" x14ac:dyDescent="0.3">
      <c r="A166" s="372" t="s">
        <v>314</v>
      </c>
      <c r="B166" s="422">
        <v>0</v>
      </c>
      <c r="C166" s="726">
        <v>0</v>
      </c>
      <c r="D166" s="734">
        <v>0</v>
      </c>
      <c r="E166" s="372"/>
      <c r="F166" s="726"/>
      <c r="G166" s="734"/>
      <c r="K166" s="339"/>
      <c r="L166" s="339"/>
    </row>
    <row r="167" spans="1:12" x14ac:dyDescent="0.3">
      <c r="A167" s="372" t="s">
        <v>315</v>
      </c>
      <c r="B167" s="422">
        <v>0</v>
      </c>
      <c r="C167" s="726">
        <v>0</v>
      </c>
      <c r="D167" s="734">
        <v>0</v>
      </c>
      <c r="E167" s="372"/>
      <c r="F167" s="726"/>
      <c r="G167" s="734"/>
      <c r="K167" s="339"/>
      <c r="L167" s="339"/>
    </row>
    <row r="168" spans="1:12" x14ac:dyDescent="0.3">
      <c r="A168" s="372" t="s">
        <v>390</v>
      </c>
      <c r="B168" s="422">
        <v>0</v>
      </c>
      <c r="C168" s="726">
        <v>0</v>
      </c>
      <c r="D168" s="734">
        <v>0</v>
      </c>
      <c r="E168" s="372"/>
      <c r="F168" s="726"/>
      <c r="G168" s="734"/>
      <c r="K168" s="339"/>
      <c r="L168" s="339"/>
    </row>
    <row r="169" spans="1:12" x14ac:dyDescent="0.3">
      <c r="A169" s="526" t="s">
        <v>12</v>
      </c>
      <c r="B169" s="423">
        <v>0</v>
      </c>
      <c r="C169" s="727">
        <v>0</v>
      </c>
      <c r="D169" s="735">
        <v>0</v>
      </c>
      <c r="E169" s="376">
        <v>0</v>
      </c>
      <c r="F169" s="727">
        <v>0</v>
      </c>
      <c r="G169" s="735">
        <v>0</v>
      </c>
      <c r="K169" s="339"/>
      <c r="L169" s="339"/>
    </row>
    <row r="170" spans="1:12" x14ac:dyDescent="0.3">
      <c r="A170" s="372" t="s">
        <v>391</v>
      </c>
      <c r="B170" s="422">
        <v>0</v>
      </c>
      <c r="C170" s="726">
        <v>0</v>
      </c>
      <c r="D170" s="734">
        <v>0</v>
      </c>
      <c r="E170" s="372">
        <v>0</v>
      </c>
      <c r="F170" s="726"/>
      <c r="G170" s="734"/>
      <c r="K170" s="339"/>
      <c r="L170" s="339"/>
    </row>
    <row r="171" spans="1:12" x14ac:dyDescent="0.3">
      <c r="A171" s="372" t="s">
        <v>392</v>
      </c>
      <c r="B171" s="422">
        <v>0</v>
      </c>
      <c r="C171" s="726">
        <v>0</v>
      </c>
      <c r="D171" s="734">
        <v>0</v>
      </c>
      <c r="E171" s="372">
        <v>0</v>
      </c>
      <c r="F171" s="726"/>
      <c r="G171" s="734"/>
      <c r="K171" s="339"/>
      <c r="L171" s="339"/>
    </row>
    <row r="172" spans="1:12" x14ac:dyDescent="0.3">
      <c r="A172" s="372" t="s">
        <v>393</v>
      </c>
      <c r="B172" s="422">
        <v>0</v>
      </c>
      <c r="C172" s="726">
        <v>0</v>
      </c>
      <c r="D172" s="734">
        <v>0</v>
      </c>
      <c r="E172" s="372">
        <v>0</v>
      </c>
      <c r="F172" s="726"/>
      <c r="G172" s="734"/>
      <c r="K172" s="339"/>
      <c r="L172" s="339"/>
    </row>
    <row r="173" spans="1:12" x14ac:dyDescent="0.3">
      <c r="A173" s="372" t="s">
        <v>394</v>
      </c>
      <c r="B173" s="422">
        <v>0</v>
      </c>
      <c r="C173" s="726">
        <v>0</v>
      </c>
      <c r="D173" s="734">
        <v>0</v>
      </c>
      <c r="E173" s="374">
        <v>0</v>
      </c>
      <c r="F173" s="726"/>
      <c r="G173" s="734"/>
      <c r="K173" s="339"/>
      <c r="L173" s="339"/>
    </row>
    <row r="174" spans="1:12" x14ac:dyDescent="0.3">
      <c r="A174" s="413"/>
      <c r="B174" s="424"/>
      <c r="C174" s="728"/>
      <c r="D174" s="736"/>
      <c r="E174" s="377"/>
      <c r="F174" s="728"/>
      <c r="G174" s="736"/>
      <c r="K174" s="339"/>
      <c r="L174" s="339"/>
    </row>
    <row r="175" spans="1:12" x14ac:dyDescent="0.3">
      <c r="K175" s="339"/>
      <c r="L175" s="339"/>
    </row>
    <row r="176" spans="1:12" x14ac:dyDescent="0.3">
      <c r="K176" s="339"/>
      <c r="L176" s="339"/>
    </row>
    <row r="177" spans="11:12" x14ac:dyDescent="0.3">
      <c r="K177" s="339"/>
      <c r="L177" s="339"/>
    </row>
    <row r="178" spans="11:12" x14ac:dyDescent="0.3">
      <c r="K178" s="339"/>
      <c r="L178" s="339"/>
    </row>
    <row r="179" spans="11:12" x14ac:dyDescent="0.3">
      <c r="K179" s="339"/>
      <c r="L179" s="339"/>
    </row>
    <row r="180" spans="11:12" x14ac:dyDescent="0.3">
      <c r="K180" s="339"/>
      <c r="L180" s="339"/>
    </row>
    <row r="181" spans="11:12" x14ac:dyDescent="0.3">
      <c r="K181" s="339"/>
      <c r="L181" s="339"/>
    </row>
    <row r="182" spans="11:12" x14ac:dyDescent="0.3">
      <c r="K182" s="339"/>
      <c r="L182" s="339"/>
    </row>
    <row r="183" spans="11:12" x14ac:dyDescent="0.3">
      <c r="K183" s="339"/>
      <c r="L183" s="339"/>
    </row>
    <row r="184" spans="11:12" x14ac:dyDescent="0.3">
      <c r="K184" s="339"/>
      <c r="L184" s="339"/>
    </row>
    <row r="185" spans="11:12" x14ac:dyDescent="0.3">
      <c r="K185" s="339"/>
      <c r="L185" s="339"/>
    </row>
    <row r="186" spans="11:12" x14ac:dyDescent="0.3">
      <c r="K186" s="339"/>
      <c r="L186" s="339"/>
    </row>
    <row r="187" spans="11:12" x14ac:dyDescent="0.3">
      <c r="K187" s="339"/>
      <c r="L187" s="339"/>
    </row>
    <row r="188" spans="11:12" x14ac:dyDescent="0.3">
      <c r="K188" s="339"/>
      <c r="L188" s="339"/>
    </row>
    <row r="189" spans="11:12" x14ac:dyDescent="0.3">
      <c r="K189" s="339"/>
      <c r="L189" s="339"/>
    </row>
    <row r="190" spans="11:12" x14ac:dyDescent="0.3">
      <c r="K190" s="339"/>
      <c r="L190" s="339"/>
    </row>
    <row r="191" spans="11:12" x14ac:dyDescent="0.3">
      <c r="K191" s="339"/>
      <c r="L191" s="339"/>
    </row>
    <row r="192" spans="11:12" x14ac:dyDescent="0.3">
      <c r="K192" s="339"/>
      <c r="L192" s="339"/>
    </row>
    <row r="193" spans="11:12" x14ac:dyDescent="0.3">
      <c r="K193" s="339"/>
      <c r="L193" s="339"/>
    </row>
    <row r="194" spans="11:12" x14ac:dyDescent="0.3">
      <c r="K194" s="339"/>
      <c r="L194" s="339"/>
    </row>
    <row r="195" spans="11:12" x14ac:dyDescent="0.3">
      <c r="K195" s="339"/>
      <c r="L195" s="339"/>
    </row>
    <row r="196" spans="11:12" x14ac:dyDescent="0.3">
      <c r="K196" s="339"/>
      <c r="L196" s="339"/>
    </row>
    <row r="197" spans="11:12" x14ac:dyDescent="0.3">
      <c r="K197" s="339"/>
      <c r="L197" s="339"/>
    </row>
    <row r="198" spans="11:12" x14ac:dyDescent="0.3">
      <c r="K198" s="339"/>
      <c r="L198" s="339"/>
    </row>
    <row r="199" spans="11:12" x14ac:dyDescent="0.3">
      <c r="K199" s="339"/>
      <c r="L199" s="339"/>
    </row>
    <row r="200" spans="11:12" x14ac:dyDescent="0.3">
      <c r="K200" s="339"/>
      <c r="L200" s="339"/>
    </row>
    <row r="201" spans="11:12" x14ac:dyDescent="0.3">
      <c r="K201" s="339"/>
      <c r="L201" s="339"/>
    </row>
    <row r="202" spans="11:12" x14ac:dyDescent="0.3">
      <c r="K202" s="339"/>
      <c r="L202" s="339"/>
    </row>
    <row r="203" spans="11:12" x14ac:dyDescent="0.3">
      <c r="K203" s="339"/>
      <c r="L203" s="339"/>
    </row>
    <row r="204" spans="11:12" x14ac:dyDescent="0.3">
      <c r="K204" s="339"/>
      <c r="L204" s="339"/>
    </row>
    <row r="205" spans="11:12" x14ac:dyDescent="0.3">
      <c r="K205" s="339"/>
      <c r="L205" s="339"/>
    </row>
    <row r="206" spans="11:12" x14ac:dyDescent="0.3">
      <c r="K206" s="339"/>
      <c r="L206" s="339"/>
    </row>
    <row r="207" spans="11:12" x14ac:dyDescent="0.3">
      <c r="K207" s="339"/>
      <c r="L207" s="339"/>
    </row>
    <row r="208" spans="11:12" x14ac:dyDescent="0.3">
      <c r="K208" s="339"/>
      <c r="L208" s="339"/>
    </row>
    <row r="209" spans="11:12" x14ac:dyDescent="0.3">
      <c r="K209" s="339"/>
      <c r="L209" s="339"/>
    </row>
    <row r="210" spans="11:12" x14ac:dyDescent="0.3">
      <c r="K210" s="339"/>
      <c r="L210" s="339"/>
    </row>
    <row r="211" spans="11:12" x14ac:dyDescent="0.3">
      <c r="K211" s="339"/>
      <c r="L211" s="339"/>
    </row>
    <row r="212" spans="11:12" x14ac:dyDescent="0.3">
      <c r="K212" s="339"/>
      <c r="L212" s="339"/>
    </row>
    <row r="213" spans="11:12" x14ac:dyDescent="0.3">
      <c r="K213" s="339"/>
      <c r="L213" s="339"/>
    </row>
    <row r="214" spans="11:12" x14ac:dyDescent="0.3">
      <c r="K214" s="339"/>
      <c r="L214" s="339"/>
    </row>
    <row r="215" spans="11:12" x14ac:dyDescent="0.3">
      <c r="K215" s="339"/>
      <c r="L215" s="339"/>
    </row>
    <row r="216" spans="11:12" x14ac:dyDescent="0.3">
      <c r="K216" s="339"/>
      <c r="L216" s="339"/>
    </row>
    <row r="217" spans="11:12" x14ac:dyDescent="0.3">
      <c r="K217" s="339"/>
      <c r="L217" s="339"/>
    </row>
    <row r="218" spans="11:12" x14ac:dyDescent="0.3">
      <c r="K218" s="339"/>
      <c r="L218" s="339"/>
    </row>
    <row r="219" spans="11:12" x14ac:dyDescent="0.3">
      <c r="K219" s="339"/>
      <c r="L219" s="339"/>
    </row>
    <row r="220" spans="11:12" x14ac:dyDescent="0.3">
      <c r="K220" s="339"/>
      <c r="L220" s="339"/>
    </row>
    <row r="221" spans="11:12" x14ac:dyDescent="0.3">
      <c r="K221" s="339"/>
      <c r="L221" s="339"/>
    </row>
    <row r="222" spans="11:12" x14ac:dyDescent="0.3">
      <c r="K222" s="339"/>
      <c r="L222" s="339"/>
    </row>
    <row r="223" spans="11:12" x14ac:dyDescent="0.3">
      <c r="K223" s="339"/>
      <c r="L223" s="339"/>
    </row>
    <row r="224" spans="11:12" x14ac:dyDescent="0.3">
      <c r="K224" s="339"/>
      <c r="L224" s="339"/>
    </row>
    <row r="225" spans="11:12" x14ac:dyDescent="0.3">
      <c r="K225" s="339"/>
      <c r="L225" s="339"/>
    </row>
    <row r="226" spans="11:12" x14ac:dyDescent="0.3">
      <c r="K226" s="339"/>
      <c r="L226" s="339"/>
    </row>
    <row r="227" spans="11:12" x14ac:dyDescent="0.3">
      <c r="K227" s="339"/>
      <c r="L227" s="339"/>
    </row>
    <row r="228" spans="11:12" x14ac:dyDescent="0.3">
      <c r="K228" s="339"/>
      <c r="L228" s="339"/>
    </row>
    <row r="229" spans="11:12" x14ac:dyDescent="0.3">
      <c r="K229" s="339"/>
      <c r="L229" s="339"/>
    </row>
    <row r="230" spans="11:12" x14ac:dyDescent="0.3">
      <c r="K230" s="339"/>
      <c r="L230" s="339"/>
    </row>
    <row r="231" spans="11:12" x14ac:dyDescent="0.3">
      <c r="K231" s="339"/>
      <c r="L231" s="339"/>
    </row>
    <row r="232" spans="11:12" x14ac:dyDescent="0.3">
      <c r="K232" s="339"/>
      <c r="L232" s="339"/>
    </row>
    <row r="233" spans="11:12" x14ac:dyDescent="0.3">
      <c r="K233" s="339"/>
      <c r="L233" s="339"/>
    </row>
    <row r="234" spans="11:12" x14ac:dyDescent="0.3">
      <c r="K234" s="339"/>
      <c r="L234" s="339"/>
    </row>
    <row r="235" spans="11:12" x14ac:dyDescent="0.3">
      <c r="K235" s="339"/>
      <c r="L235" s="339"/>
    </row>
    <row r="236" spans="11:12" x14ac:dyDescent="0.3">
      <c r="K236" s="339"/>
      <c r="L236" s="339"/>
    </row>
    <row r="237" spans="11:12" x14ac:dyDescent="0.3">
      <c r="K237" s="339"/>
      <c r="L237" s="339"/>
    </row>
    <row r="238" spans="11:12" x14ac:dyDescent="0.3">
      <c r="K238" s="339"/>
      <c r="L238" s="339"/>
    </row>
    <row r="239" spans="11:12" x14ac:dyDescent="0.3">
      <c r="K239" s="339"/>
      <c r="L239" s="339"/>
    </row>
    <row r="240" spans="11:12" x14ac:dyDescent="0.3">
      <c r="K240" s="339"/>
      <c r="L240" s="339"/>
    </row>
    <row r="241" spans="11:12" x14ac:dyDescent="0.3">
      <c r="K241" s="339"/>
      <c r="L241" s="339"/>
    </row>
    <row r="242" spans="11:12" x14ac:dyDescent="0.3">
      <c r="K242" s="339"/>
      <c r="L242" s="339"/>
    </row>
    <row r="243" spans="11:12" x14ac:dyDescent="0.3">
      <c r="K243" s="339"/>
      <c r="L243" s="339"/>
    </row>
    <row r="244" spans="11:12" x14ac:dyDescent="0.3">
      <c r="K244" s="339"/>
      <c r="L244" s="339"/>
    </row>
    <row r="245" spans="11:12" x14ac:dyDescent="0.3">
      <c r="K245" s="339"/>
      <c r="L245" s="339"/>
    </row>
    <row r="246" spans="11:12" x14ac:dyDescent="0.3">
      <c r="K246" s="339"/>
      <c r="L246" s="339"/>
    </row>
    <row r="247" spans="11:12" x14ac:dyDescent="0.3">
      <c r="K247" s="339"/>
      <c r="L247" s="339"/>
    </row>
    <row r="248" spans="11:12" x14ac:dyDescent="0.3">
      <c r="K248" s="339"/>
      <c r="L248" s="339"/>
    </row>
    <row r="249" spans="11:12" x14ac:dyDescent="0.3">
      <c r="K249" s="339"/>
      <c r="L249" s="339"/>
    </row>
    <row r="250" spans="11:12" x14ac:dyDescent="0.3">
      <c r="K250" s="339"/>
      <c r="L250" s="339"/>
    </row>
    <row r="251" spans="11:12" x14ac:dyDescent="0.3">
      <c r="K251" s="339"/>
      <c r="L251" s="339"/>
    </row>
    <row r="252" spans="11:12" x14ac:dyDescent="0.3">
      <c r="K252" s="339"/>
      <c r="L252" s="339"/>
    </row>
    <row r="253" spans="11:12" x14ac:dyDescent="0.3">
      <c r="K253" s="339"/>
      <c r="L253" s="339"/>
    </row>
    <row r="254" spans="11:12" x14ac:dyDescent="0.3">
      <c r="K254" s="339"/>
      <c r="L254" s="339"/>
    </row>
    <row r="255" spans="11:12" x14ac:dyDescent="0.3">
      <c r="K255" s="339"/>
      <c r="L255" s="339"/>
    </row>
    <row r="256" spans="11:12" x14ac:dyDescent="0.3">
      <c r="K256" s="339"/>
      <c r="L256" s="339"/>
    </row>
    <row r="257" spans="11:12" x14ac:dyDescent="0.3">
      <c r="K257" s="339"/>
      <c r="L257" s="339"/>
    </row>
    <row r="258" spans="11:12" x14ac:dyDescent="0.3">
      <c r="K258" s="339"/>
      <c r="L258" s="339"/>
    </row>
    <row r="259" spans="11:12" x14ac:dyDescent="0.3">
      <c r="K259" s="339"/>
      <c r="L259" s="339"/>
    </row>
    <row r="260" spans="11:12" x14ac:dyDescent="0.3">
      <c r="K260" s="339"/>
      <c r="L260" s="339"/>
    </row>
    <row r="261" spans="11:12" x14ac:dyDescent="0.3">
      <c r="K261" s="339"/>
      <c r="L261" s="339"/>
    </row>
    <row r="262" spans="11:12" x14ac:dyDescent="0.3">
      <c r="K262" s="339"/>
      <c r="L262" s="339"/>
    </row>
    <row r="263" spans="11:12" x14ac:dyDescent="0.3">
      <c r="K263" s="339"/>
      <c r="L263" s="339"/>
    </row>
    <row r="264" spans="11:12" x14ac:dyDescent="0.3">
      <c r="K264" s="339"/>
      <c r="L264" s="339"/>
    </row>
    <row r="265" spans="11:12" x14ac:dyDescent="0.3">
      <c r="K265" s="339"/>
      <c r="L265" s="339"/>
    </row>
    <row r="266" spans="11:12" x14ac:dyDescent="0.3">
      <c r="K266" s="339"/>
      <c r="L266" s="339"/>
    </row>
    <row r="267" spans="11:12" x14ac:dyDescent="0.3">
      <c r="K267" s="339"/>
      <c r="L267" s="339"/>
    </row>
    <row r="268" spans="11:12" x14ac:dyDescent="0.3">
      <c r="K268" s="339"/>
      <c r="L268" s="339"/>
    </row>
    <row r="269" spans="11:12" x14ac:dyDescent="0.3">
      <c r="K269" s="339"/>
      <c r="L269" s="339"/>
    </row>
    <row r="270" spans="11:12" x14ac:dyDescent="0.3">
      <c r="K270" s="339"/>
      <c r="L270" s="339"/>
    </row>
    <row r="271" spans="11:12" x14ac:dyDescent="0.3">
      <c r="K271" s="339"/>
      <c r="L271" s="339"/>
    </row>
    <row r="272" spans="11:12" x14ac:dyDescent="0.3">
      <c r="K272" s="339"/>
      <c r="L272" s="339"/>
    </row>
    <row r="273" spans="11:12" x14ac:dyDescent="0.3">
      <c r="K273" s="339"/>
      <c r="L273" s="339"/>
    </row>
    <row r="274" spans="11:12" x14ac:dyDescent="0.3">
      <c r="K274" s="339"/>
      <c r="L274" s="339"/>
    </row>
    <row r="275" spans="11:12" x14ac:dyDescent="0.3">
      <c r="K275" s="339"/>
      <c r="L275" s="339"/>
    </row>
    <row r="276" spans="11:12" x14ac:dyDescent="0.3">
      <c r="K276" s="339"/>
      <c r="L276" s="339"/>
    </row>
    <row r="277" spans="11:12" x14ac:dyDescent="0.3">
      <c r="K277" s="339"/>
      <c r="L277" s="339"/>
    </row>
    <row r="278" spans="11:12" x14ac:dyDescent="0.3">
      <c r="K278" s="339"/>
      <c r="L278" s="339"/>
    </row>
    <row r="279" spans="11:12" x14ac:dyDescent="0.3">
      <c r="K279" s="339"/>
      <c r="L279" s="339"/>
    </row>
    <row r="280" spans="11:12" x14ac:dyDescent="0.3">
      <c r="K280" s="339"/>
      <c r="L280" s="339"/>
    </row>
    <row r="281" spans="11:12" x14ac:dyDescent="0.3">
      <c r="K281" s="339"/>
      <c r="L281" s="339"/>
    </row>
    <row r="282" spans="11:12" x14ac:dyDescent="0.3">
      <c r="K282" s="339"/>
      <c r="L282" s="339"/>
    </row>
    <row r="283" spans="11:12" x14ac:dyDescent="0.3">
      <c r="K283" s="339"/>
      <c r="L283" s="339"/>
    </row>
    <row r="284" spans="11:12" x14ac:dyDescent="0.3">
      <c r="K284" s="339"/>
      <c r="L284" s="339"/>
    </row>
    <row r="285" spans="11:12" x14ac:dyDescent="0.3">
      <c r="K285" s="339"/>
      <c r="L285" s="339"/>
    </row>
    <row r="286" spans="11:12" x14ac:dyDescent="0.3">
      <c r="K286" s="339"/>
      <c r="L286" s="339"/>
    </row>
    <row r="287" spans="11:12" x14ac:dyDescent="0.3">
      <c r="K287" s="339"/>
      <c r="L287" s="339"/>
    </row>
    <row r="288" spans="11:12" x14ac:dyDescent="0.3">
      <c r="K288" s="339"/>
      <c r="L288" s="339"/>
    </row>
    <row r="289" spans="11:12" x14ac:dyDescent="0.3">
      <c r="K289" s="339"/>
      <c r="L289" s="339"/>
    </row>
    <row r="290" spans="11:12" x14ac:dyDescent="0.3">
      <c r="K290" s="339"/>
      <c r="L290" s="339"/>
    </row>
    <row r="291" spans="11:12" x14ac:dyDescent="0.3">
      <c r="K291" s="339"/>
      <c r="L291" s="339"/>
    </row>
    <row r="292" spans="11:12" x14ac:dyDescent="0.3">
      <c r="K292" s="339"/>
      <c r="L292" s="339"/>
    </row>
    <row r="293" spans="11:12" x14ac:dyDescent="0.3">
      <c r="K293" s="339"/>
      <c r="L293" s="339"/>
    </row>
    <row r="294" spans="11:12" x14ac:dyDescent="0.3">
      <c r="K294" s="339"/>
      <c r="L294" s="339"/>
    </row>
    <row r="295" spans="11:12" x14ac:dyDescent="0.3">
      <c r="K295" s="339"/>
      <c r="L295" s="339"/>
    </row>
    <row r="296" spans="11:12" x14ac:dyDescent="0.3">
      <c r="K296" s="339"/>
      <c r="L296" s="339"/>
    </row>
    <row r="297" spans="11:12" x14ac:dyDescent="0.3">
      <c r="K297" s="339"/>
      <c r="L297" s="339"/>
    </row>
    <row r="298" spans="11:12" x14ac:dyDescent="0.3">
      <c r="K298" s="339"/>
      <c r="L298" s="339"/>
    </row>
    <row r="299" spans="11:12" x14ac:dyDescent="0.3">
      <c r="K299" s="339"/>
      <c r="L299" s="339"/>
    </row>
    <row r="300" spans="11:12" x14ac:dyDescent="0.3">
      <c r="K300" s="339"/>
      <c r="L300" s="339"/>
    </row>
    <row r="301" spans="11:12" x14ac:dyDescent="0.3">
      <c r="K301" s="339"/>
      <c r="L301" s="339"/>
    </row>
    <row r="302" spans="11:12" x14ac:dyDescent="0.3">
      <c r="K302" s="339"/>
      <c r="L302" s="339"/>
    </row>
    <row r="303" spans="11:12" x14ac:dyDescent="0.3">
      <c r="K303" s="339"/>
      <c r="L303" s="339"/>
    </row>
    <row r="304" spans="11:12" x14ac:dyDescent="0.3">
      <c r="K304" s="339"/>
      <c r="L304" s="339"/>
    </row>
    <row r="305" spans="11:12" x14ac:dyDescent="0.3">
      <c r="K305" s="339"/>
      <c r="L305" s="339"/>
    </row>
    <row r="306" spans="11:12" x14ac:dyDescent="0.3">
      <c r="K306" s="339"/>
      <c r="L306" s="339"/>
    </row>
    <row r="307" spans="11:12" x14ac:dyDescent="0.3">
      <c r="K307" s="339"/>
      <c r="L307" s="339"/>
    </row>
    <row r="308" spans="11:12" x14ac:dyDescent="0.3">
      <c r="K308" s="339"/>
      <c r="L308" s="339"/>
    </row>
    <row r="309" spans="11:12" x14ac:dyDescent="0.3">
      <c r="K309" s="339"/>
      <c r="L309" s="339"/>
    </row>
    <row r="310" spans="11:12" x14ac:dyDescent="0.3">
      <c r="K310" s="339"/>
      <c r="L310" s="339"/>
    </row>
    <row r="311" spans="11:12" x14ac:dyDescent="0.3">
      <c r="K311" s="339"/>
      <c r="L311" s="339"/>
    </row>
    <row r="312" spans="11:12" x14ac:dyDescent="0.3">
      <c r="K312" s="339"/>
      <c r="L312" s="339"/>
    </row>
    <row r="313" spans="11:12" x14ac:dyDescent="0.3">
      <c r="K313" s="339"/>
      <c r="L313" s="339"/>
    </row>
    <row r="314" spans="11:12" x14ac:dyDescent="0.3">
      <c r="K314" s="339"/>
      <c r="L314" s="339"/>
    </row>
    <row r="315" spans="11:12" x14ac:dyDescent="0.3">
      <c r="K315" s="339"/>
      <c r="L315" s="339"/>
    </row>
    <row r="316" spans="11:12" x14ac:dyDescent="0.3">
      <c r="K316" s="339"/>
      <c r="L316" s="339"/>
    </row>
    <row r="317" spans="11:12" x14ac:dyDescent="0.3">
      <c r="K317" s="339"/>
      <c r="L317" s="339"/>
    </row>
    <row r="318" spans="11:12" x14ac:dyDescent="0.3">
      <c r="K318" s="339"/>
      <c r="L318" s="339"/>
    </row>
    <row r="319" spans="11:12" x14ac:dyDescent="0.3">
      <c r="K319" s="339"/>
      <c r="L319" s="339"/>
    </row>
    <row r="320" spans="11:12" x14ac:dyDescent="0.3">
      <c r="K320" s="339"/>
      <c r="L320" s="339"/>
    </row>
    <row r="321" spans="11:12" x14ac:dyDescent="0.3">
      <c r="K321" s="339"/>
      <c r="L321" s="339"/>
    </row>
    <row r="322" spans="11:12" x14ac:dyDescent="0.3">
      <c r="K322" s="339"/>
      <c r="L322" s="339"/>
    </row>
    <row r="323" spans="11:12" x14ac:dyDescent="0.3">
      <c r="K323" s="339"/>
      <c r="L323" s="339"/>
    </row>
    <row r="324" spans="11:12" x14ac:dyDescent="0.3">
      <c r="K324" s="339"/>
      <c r="L324" s="339"/>
    </row>
    <row r="325" spans="11:12" x14ac:dyDescent="0.3">
      <c r="K325" s="339"/>
      <c r="L325" s="339"/>
    </row>
    <row r="326" spans="11:12" x14ac:dyDescent="0.3">
      <c r="K326" s="339"/>
      <c r="L326" s="339"/>
    </row>
    <row r="327" spans="11:12" x14ac:dyDescent="0.3">
      <c r="K327" s="339"/>
      <c r="L327" s="339"/>
    </row>
    <row r="328" spans="11:12" x14ac:dyDescent="0.3">
      <c r="K328" s="339"/>
      <c r="L328" s="339"/>
    </row>
    <row r="329" spans="11:12" x14ac:dyDescent="0.3">
      <c r="K329" s="339"/>
      <c r="L329" s="339"/>
    </row>
    <row r="330" spans="11:12" x14ac:dyDescent="0.3">
      <c r="K330" s="339"/>
      <c r="L330" s="339"/>
    </row>
    <row r="331" spans="11:12" x14ac:dyDescent="0.3">
      <c r="K331" s="339"/>
      <c r="L331" s="339"/>
    </row>
    <row r="332" spans="11:12" x14ac:dyDescent="0.3">
      <c r="K332" s="339"/>
      <c r="L332" s="339"/>
    </row>
    <row r="333" spans="11:12" x14ac:dyDescent="0.3">
      <c r="K333" s="339"/>
      <c r="L333" s="339"/>
    </row>
    <row r="334" spans="11:12" x14ac:dyDescent="0.3">
      <c r="K334" s="339"/>
      <c r="L334" s="339"/>
    </row>
    <row r="335" spans="11:12" x14ac:dyDescent="0.3">
      <c r="K335" s="339"/>
      <c r="L335" s="339"/>
    </row>
    <row r="336" spans="11:12" x14ac:dyDescent="0.3">
      <c r="K336" s="339"/>
      <c r="L336" s="339"/>
    </row>
    <row r="337" spans="11:12" x14ac:dyDescent="0.3">
      <c r="K337" s="339"/>
      <c r="L337" s="339"/>
    </row>
    <row r="338" spans="11:12" x14ac:dyDescent="0.3">
      <c r="K338" s="339"/>
      <c r="L338" s="339"/>
    </row>
    <row r="339" spans="11:12" x14ac:dyDescent="0.3">
      <c r="K339" s="339"/>
      <c r="L339" s="339"/>
    </row>
    <row r="340" spans="11:12" x14ac:dyDescent="0.3">
      <c r="K340" s="339"/>
      <c r="L340" s="339"/>
    </row>
    <row r="341" spans="11:12" x14ac:dyDescent="0.3">
      <c r="K341" s="339"/>
      <c r="L341" s="339"/>
    </row>
    <row r="342" spans="11:12" x14ac:dyDescent="0.3">
      <c r="K342" s="339"/>
      <c r="L342" s="339"/>
    </row>
    <row r="343" spans="11:12" x14ac:dyDescent="0.3">
      <c r="K343" s="339"/>
      <c r="L343" s="339"/>
    </row>
    <row r="344" spans="11:12" x14ac:dyDescent="0.3">
      <c r="K344" s="339"/>
      <c r="L344" s="339"/>
    </row>
    <row r="345" spans="11:12" x14ac:dyDescent="0.3">
      <c r="K345" s="339"/>
      <c r="L345" s="339"/>
    </row>
    <row r="346" spans="11:12" x14ac:dyDescent="0.3">
      <c r="K346" s="339"/>
      <c r="L346" s="339"/>
    </row>
    <row r="347" spans="11:12" x14ac:dyDescent="0.3">
      <c r="K347" s="339"/>
      <c r="L347" s="339"/>
    </row>
    <row r="348" spans="11:12" x14ac:dyDescent="0.3">
      <c r="K348" s="339"/>
      <c r="L348" s="339"/>
    </row>
    <row r="349" spans="11:12" x14ac:dyDescent="0.3">
      <c r="K349" s="339"/>
      <c r="L349" s="339"/>
    </row>
    <row r="350" spans="11:12" x14ac:dyDescent="0.3">
      <c r="K350" s="339"/>
      <c r="L350" s="339"/>
    </row>
    <row r="351" spans="11:12" x14ac:dyDescent="0.3">
      <c r="K351" s="339"/>
      <c r="L351" s="339"/>
    </row>
    <row r="352" spans="11:12" x14ac:dyDescent="0.3">
      <c r="K352" s="339"/>
      <c r="L352" s="339"/>
    </row>
    <row r="353" spans="11:12" x14ac:dyDescent="0.3">
      <c r="K353" s="339"/>
      <c r="L353" s="339"/>
    </row>
    <row r="354" spans="11:12" x14ac:dyDescent="0.3">
      <c r="K354" s="339"/>
      <c r="L354" s="339"/>
    </row>
    <row r="355" spans="11:12" x14ac:dyDescent="0.3">
      <c r="K355" s="339"/>
      <c r="L355" s="339"/>
    </row>
    <row r="356" spans="11:12" x14ac:dyDescent="0.3">
      <c r="K356" s="339"/>
      <c r="L356" s="339"/>
    </row>
    <row r="357" spans="11:12" x14ac:dyDescent="0.3">
      <c r="K357" s="339"/>
      <c r="L357" s="339"/>
    </row>
    <row r="358" spans="11:12" x14ac:dyDescent="0.3">
      <c r="K358" s="339"/>
      <c r="L358" s="339"/>
    </row>
    <row r="359" spans="11:12" x14ac:dyDescent="0.3">
      <c r="K359" s="339"/>
      <c r="L359" s="339"/>
    </row>
    <row r="360" spans="11:12" x14ac:dyDescent="0.3">
      <c r="K360" s="339"/>
      <c r="L360" s="339"/>
    </row>
    <row r="361" spans="11:12" x14ac:dyDescent="0.3">
      <c r="K361" s="339"/>
      <c r="L361" s="339"/>
    </row>
    <row r="362" spans="11:12" x14ac:dyDescent="0.3">
      <c r="K362" s="339"/>
      <c r="L362" s="339"/>
    </row>
    <row r="363" spans="11:12" x14ac:dyDescent="0.3">
      <c r="K363" s="339"/>
      <c r="L363" s="339"/>
    </row>
    <row r="364" spans="11:12" x14ac:dyDescent="0.3">
      <c r="K364" s="339"/>
      <c r="L364" s="339"/>
    </row>
    <row r="365" spans="11:12" x14ac:dyDescent="0.3">
      <c r="K365" s="339"/>
      <c r="L365" s="339"/>
    </row>
    <row r="366" spans="11:12" x14ac:dyDescent="0.3">
      <c r="K366" s="339"/>
      <c r="L366" s="339"/>
    </row>
    <row r="367" spans="11:12" x14ac:dyDescent="0.3">
      <c r="K367" s="339"/>
      <c r="L367" s="339"/>
    </row>
    <row r="368" spans="11:12" x14ac:dyDescent="0.3">
      <c r="K368" s="339"/>
      <c r="L368" s="339"/>
    </row>
    <row r="369" spans="11:12" x14ac:dyDescent="0.3">
      <c r="K369" s="339"/>
      <c r="L369" s="339"/>
    </row>
    <row r="370" spans="11:12" x14ac:dyDescent="0.3">
      <c r="K370" s="339"/>
      <c r="L370" s="339"/>
    </row>
    <row r="371" spans="11:12" x14ac:dyDescent="0.3">
      <c r="K371" s="339"/>
      <c r="L371" s="339"/>
    </row>
    <row r="372" spans="11:12" x14ac:dyDescent="0.3">
      <c r="K372" s="339"/>
      <c r="L372" s="339"/>
    </row>
    <row r="373" spans="11:12" x14ac:dyDescent="0.3">
      <c r="K373" s="339"/>
      <c r="L373" s="339"/>
    </row>
    <row r="374" spans="11:12" x14ac:dyDescent="0.3">
      <c r="K374" s="339"/>
      <c r="L374" s="339"/>
    </row>
    <row r="375" spans="11:12" x14ac:dyDescent="0.3">
      <c r="K375" s="339"/>
      <c r="L375" s="339"/>
    </row>
    <row r="376" spans="11:12" x14ac:dyDescent="0.3">
      <c r="K376" s="339"/>
      <c r="L376" s="339"/>
    </row>
    <row r="377" spans="11:12" x14ac:dyDescent="0.3">
      <c r="K377" s="339"/>
      <c r="L377" s="339"/>
    </row>
    <row r="378" spans="11:12" x14ac:dyDescent="0.3">
      <c r="K378" s="339"/>
      <c r="L378" s="339"/>
    </row>
    <row r="379" spans="11:12" x14ac:dyDescent="0.3">
      <c r="K379" s="339"/>
      <c r="L379" s="339"/>
    </row>
    <row r="380" spans="11:12" x14ac:dyDescent="0.3">
      <c r="K380" s="339"/>
      <c r="L380" s="339"/>
    </row>
    <row r="381" spans="11:12" x14ac:dyDescent="0.3">
      <c r="K381" s="339"/>
      <c r="L381" s="339"/>
    </row>
  </sheetData>
  <mergeCells count="18">
    <mergeCell ref="A37:A38"/>
    <mergeCell ref="B37:D37"/>
    <mergeCell ref="E37:G37"/>
    <mergeCell ref="A152:A153"/>
    <mergeCell ref="B152:D152"/>
    <mergeCell ref="E152:G152"/>
    <mergeCell ref="A74:A75"/>
    <mergeCell ref="B74:D74"/>
    <mergeCell ref="E74:G74"/>
    <mergeCell ref="A115:A116"/>
    <mergeCell ref="B115:D115"/>
    <mergeCell ref="E115:G115"/>
    <mergeCell ref="N15:S15"/>
    <mergeCell ref="A3:A4"/>
    <mergeCell ref="B3:D3"/>
    <mergeCell ref="E3:G3"/>
    <mergeCell ref="I3:I4"/>
    <mergeCell ref="J3:L3"/>
  </mergeCells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88A945"/>
  </sheetPr>
  <dimension ref="A1:R158"/>
  <sheetViews>
    <sheetView zoomScaleNormal="100" workbookViewId="0">
      <selection sqref="A1:XFD1048576"/>
    </sheetView>
  </sheetViews>
  <sheetFormatPr defaultColWidth="8.85546875" defaultRowHeight="18.75" x14ac:dyDescent="0.3"/>
  <cols>
    <col min="1" max="1" width="27.5703125" style="366" customWidth="1"/>
    <col min="2" max="2" width="9" style="366" customWidth="1"/>
    <col min="3" max="3" width="8.5703125" style="366" customWidth="1"/>
    <col min="4" max="4" width="10.85546875" style="366" customWidth="1"/>
    <col min="5" max="5" width="8.7109375" style="366" customWidth="1"/>
    <col min="6" max="6" width="9" style="366" customWidth="1"/>
    <col min="7" max="7" width="8.85546875" style="366" bestFit="1" customWidth="1"/>
    <col min="8" max="8" width="8.85546875" style="366"/>
    <col min="9" max="9" width="31.140625" style="366" customWidth="1"/>
    <col min="10" max="10" width="11.85546875" style="366" customWidth="1"/>
    <col min="11" max="11" width="12.140625" style="366" customWidth="1"/>
    <col min="12" max="12" width="13.28515625" style="366" customWidth="1"/>
    <col min="13" max="13" width="12.7109375" style="366" customWidth="1"/>
    <col min="14" max="14" width="12.85546875" style="366" customWidth="1"/>
    <col min="15" max="15" width="12.85546875" style="602" customWidth="1"/>
    <col min="16" max="16" width="13.7109375" style="366" bestFit="1" customWidth="1"/>
    <col min="17" max="17" width="15.140625" style="366" customWidth="1"/>
    <col min="18" max="18" width="13.85546875" style="520" customWidth="1"/>
    <col min="19" max="19" width="12.42578125" style="366" customWidth="1"/>
    <col min="20" max="16384" width="8.85546875" style="366"/>
  </cols>
  <sheetData>
    <row r="1" spans="1:18" x14ac:dyDescent="0.3">
      <c r="A1" s="342" t="s">
        <v>817</v>
      </c>
      <c r="I1" s="385"/>
      <c r="L1" s="767"/>
      <c r="M1" s="767"/>
      <c r="N1" s="767"/>
      <c r="O1" s="768"/>
      <c r="P1" s="78"/>
      <c r="Q1" s="31"/>
    </row>
    <row r="2" spans="1:18" x14ac:dyDescent="0.3">
      <c r="L2" s="651"/>
      <c r="M2" s="651"/>
      <c r="N2" s="602"/>
      <c r="O2" s="768"/>
      <c r="P2" s="602"/>
      <c r="Q2" s="31"/>
    </row>
    <row r="3" spans="1:18" s="673" customFormat="1" ht="24.95" customHeight="1" x14ac:dyDescent="0.5">
      <c r="A3" s="3497" t="s">
        <v>0</v>
      </c>
      <c r="B3" s="3523" t="s">
        <v>6</v>
      </c>
      <c r="C3" s="3523"/>
      <c r="D3" s="3523"/>
      <c r="E3" s="3523" t="s">
        <v>2</v>
      </c>
      <c r="F3" s="3523"/>
      <c r="G3" s="3523"/>
      <c r="I3" s="3497" t="s">
        <v>0</v>
      </c>
      <c r="J3" s="3524" t="s">
        <v>28</v>
      </c>
      <c r="K3" s="3524"/>
      <c r="L3" s="3524"/>
      <c r="M3" s="791"/>
      <c r="N3" s="2846"/>
      <c r="O3" s="2847"/>
      <c r="P3" s="448"/>
      <c r="Q3" s="2848"/>
      <c r="R3" s="2849"/>
    </row>
    <row r="4" spans="1:18" ht="24.95" customHeight="1" x14ac:dyDescent="0.3">
      <c r="A4" s="3499"/>
      <c r="B4" s="386" t="s">
        <v>28</v>
      </c>
      <c r="C4" s="742" t="s">
        <v>34</v>
      </c>
      <c r="D4" s="740" t="s">
        <v>62</v>
      </c>
      <c r="E4" s="386" t="s">
        <v>28</v>
      </c>
      <c r="F4" s="742" t="s">
        <v>34</v>
      </c>
      <c r="G4" s="740" t="s">
        <v>62</v>
      </c>
      <c r="I4" s="3499"/>
      <c r="J4" s="386" t="s">
        <v>28</v>
      </c>
      <c r="K4" s="742" t="s">
        <v>34</v>
      </c>
      <c r="L4" s="740" t="s">
        <v>62</v>
      </c>
      <c r="M4" s="339">
        <v>315892</v>
      </c>
      <c r="N4" s="2843"/>
      <c r="P4" s="591"/>
    </row>
    <row r="5" spans="1:18" ht="24.95" customHeight="1" thickBot="1" x14ac:dyDescent="0.35">
      <c r="A5" s="407" t="s">
        <v>28</v>
      </c>
      <c r="B5" s="367">
        <v>78000</v>
      </c>
      <c r="C5" s="724">
        <v>52000</v>
      </c>
      <c r="D5" s="732">
        <v>26000</v>
      </c>
      <c r="E5" s="367">
        <v>0</v>
      </c>
      <c r="F5" s="724">
        <v>0</v>
      </c>
      <c r="G5" s="732">
        <v>0</v>
      </c>
      <c r="I5" s="407" t="s">
        <v>28</v>
      </c>
      <c r="J5" s="475">
        <v>315892</v>
      </c>
      <c r="K5" s="724">
        <v>206918</v>
      </c>
      <c r="L5" s="732">
        <v>108974</v>
      </c>
      <c r="M5" s="822"/>
      <c r="P5" s="591"/>
    </row>
    <row r="6" spans="1:18" s="385" customFormat="1" ht="24.95" customHeight="1" thickTop="1" x14ac:dyDescent="0.3">
      <c r="A6" s="409" t="s">
        <v>7</v>
      </c>
      <c r="B6" s="370">
        <v>0</v>
      </c>
      <c r="C6" s="725">
        <v>0</v>
      </c>
      <c r="D6" s="733">
        <v>0</v>
      </c>
      <c r="E6" s="370">
        <v>0</v>
      </c>
      <c r="F6" s="725">
        <v>0</v>
      </c>
      <c r="G6" s="733">
        <v>0</v>
      </c>
      <c r="I6" s="409" t="s">
        <v>7</v>
      </c>
      <c r="J6" s="370">
        <v>0</v>
      </c>
      <c r="K6" s="725">
        <v>0</v>
      </c>
      <c r="L6" s="733">
        <v>0</v>
      </c>
      <c r="M6" s="823"/>
      <c r="N6" s="595"/>
      <c r="O6" s="602"/>
      <c r="P6" s="602"/>
      <c r="Q6" s="366"/>
      <c r="R6" s="520"/>
    </row>
    <row r="7" spans="1:18" ht="24.95" customHeight="1" x14ac:dyDescent="0.3">
      <c r="A7" s="398" t="s">
        <v>8</v>
      </c>
      <c r="B7" s="372">
        <v>0</v>
      </c>
      <c r="C7" s="726">
        <v>0</v>
      </c>
      <c r="D7" s="734">
        <v>0</v>
      </c>
      <c r="E7" s="372">
        <v>0</v>
      </c>
      <c r="F7" s="726">
        <v>0</v>
      </c>
      <c r="G7" s="734">
        <v>0</v>
      </c>
      <c r="I7" s="398" t="s">
        <v>8</v>
      </c>
      <c r="J7" s="372">
        <v>0</v>
      </c>
      <c r="K7" s="726">
        <v>0</v>
      </c>
      <c r="L7" s="734">
        <v>0</v>
      </c>
      <c r="M7" s="650"/>
      <c r="P7" s="719"/>
      <c r="Q7" s="406"/>
    </row>
    <row r="8" spans="1:18" ht="24.95" customHeight="1" x14ac:dyDescent="0.3">
      <c r="A8" s="398" t="s">
        <v>306</v>
      </c>
      <c r="B8" s="372">
        <v>0</v>
      </c>
      <c r="C8" s="726">
        <v>0</v>
      </c>
      <c r="D8" s="734">
        <v>0</v>
      </c>
      <c r="E8" s="372">
        <v>0</v>
      </c>
      <c r="F8" s="726">
        <v>0</v>
      </c>
      <c r="G8" s="734">
        <v>0</v>
      </c>
      <c r="I8" s="398" t="s">
        <v>306</v>
      </c>
      <c r="J8" s="372">
        <v>0</v>
      </c>
      <c r="K8" s="726">
        <v>0</v>
      </c>
      <c r="L8" s="734">
        <v>0</v>
      </c>
      <c r="M8" s="650"/>
      <c r="N8" s="595"/>
      <c r="P8" s="401"/>
      <c r="Q8" s="385"/>
      <c r="R8" s="2844"/>
    </row>
    <row r="9" spans="1:18" ht="24.95" customHeight="1" x14ac:dyDescent="0.3">
      <c r="A9" s="398"/>
      <c r="B9" s="372"/>
      <c r="C9" s="726"/>
      <c r="D9" s="734"/>
      <c r="E9" s="372"/>
      <c r="F9" s="726"/>
      <c r="G9" s="734"/>
      <c r="I9" s="398"/>
      <c r="J9" s="372"/>
      <c r="K9" s="726"/>
      <c r="L9" s="734"/>
      <c r="M9" s="650"/>
      <c r="O9" s="366"/>
      <c r="P9" s="406"/>
    </row>
    <row r="10" spans="1:18" s="385" customFormat="1" ht="24.95" customHeight="1" x14ac:dyDescent="0.3">
      <c r="A10" s="387" t="s">
        <v>9</v>
      </c>
      <c r="B10" s="375">
        <v>78000</v>
      </c>
      <c r="C10" s="727">
        <v>52000</v>
      </c>
      <c r="D10" s="735">
        <v>26000</v>
      </c>
      <c r="E10" s="375">
        <v>0</v>
      </c>
      <c r="F10" s="727">
        <v>0</v>
      </c>
      <c r="G10" s="735">
        <v>0</v>
      </c>
      <c r="I10" s="387" t="s">
        <v>9</v>
      </c>
      <c r="J10" s="375">
        <v>315892</v>
      </c>
      <c r="K10" s="727">
        <v>206918</v>
      </c>
      <c r="L10" s="735">
        <v>108974</v>
      </c>
      <c r="M10" s="823"/>
      <c r="N10" s="595"/>
      <c r="O10" s="602"/>
      <c r="P10" s="719"/>
      <c r="Q10" s="366"/>
      <c r="R10" s="520"/>
    </row>
    <row r="11" spans="1:18" ht="24.95" customHeight="1" x14ac:dyDescent="0.3">
      <c r="A11" s="372" t="s">
        <v>308</v>
      </c>
      <c r="B11" s="372">
        <v>0</v>
      </c>
      <c r="C11" s="726">
        <v>0</v>
      </c>
      <c r="D11" s="734">
        <v>0</v>
      </c>
      <c r="E11" s="372">
        <v>0</v>
      </c>
      <c r="F11" s="726">
        <v>0</v>
      </c>
      <c r="G11" s="734">
        <v>0</v>
      </c>
      <c r="I11" s="372" t="s">
        <v>308</v>
      </c>
      <c r="J11" s="372">
        <v>237892</v>
      </c>
      <c r="K11" s="726">
        <v>154918</v>
      </c>
      <c r="L11" s="734">
        <v>82974</v>
      </c>
      <c r="M11" s="650"/>
      <c r="P11" s="406"/>
    </row>
    <row r="12" spans="1:18" ht="24.95" customHeight="1" x14ac:dyDescent="0.3">
      <c r="A12" s="372" t="s">
        <v>309</v>
      </c>
      <c r="B12" s="372">
        <v>0</v>
      </c>
      <c r="C12" s="726">
        <v>0</v>
      </c>
      <c r="D12" s="734">
        <v>0</v>
      </c>
      <c r="E12" s="372">
        <v>0</v>
      </c>
      <c r="F12" s="726">
        <v>0</v>
      </c>
      <c r="G12" s="734">
        <v>0</v>
      </c>
      <c r="I12" s="372" t="s">
        <v>309</v>
      </c>
      <c r="J12" s="372">
        <v>0</v>
      </c>
      <c r="K12" s="726">
        <v>0</v>
      </c>
      <c r="L12" s="734">
        <v>0</v>
      </c>
      <c r="M12" s="650"/>
      <c r="N12" s="595"/>
      <c r="P12" s="719"/>
      <c r="Q12" s="385"/>
      <c r="R12" s="2844"/>
    </row>
    <row r="13" spans="1:18" ht="24.95" customHeight="1" x14ac:dyDescent="0.3">
      <c r="A13" s="372" t="s">
        <v>310</v>
      </c>
      <c r="B13" s="372">
        <v>0</v>
      </c>
      <c r="C13" s="726">
        <v>0</v>
      </c>
      <c r="D13" s="734">
        <v>0</v>
      </c>
      <c r="E13" s="372">
        <v>0</v>
      </c>
      <c r="F13" s="726">
        <v>0</v>
      </c>
      <c r="G13" s="734">
        <v>0</v>
      </c>
      <c r="I13" s="372" t="s">
        <v>310</v>
      </c>
      <c r="J13" s="372">
        <v>0</v>
      </c>
      <c r="K13" s="726">
        <v>0</v>
      </c>
      <c r="L13" s="734">
        <v>0</v>
      </c>
      <c r="M13" s="650"/>
      <c r="P13" s="591"/>
    </row>
    <row r="14" spans="1:18" ht="24.75" customHeight="1" x14ac:dyDescent="0.3">
      <c r="A14" s="372" t="s">
        <v>311</v>
      </c>
      <c r="B14" s="372">
        <v>0</v>
      </c>
      <c r="C14" s="726">
        <v>0</v>
      </c>
      <c r="D14" s="734">
        <v>0</v>
      </c>
      <c r="E14" s="372">
        <v>0</v>
      </c>
      <c r="F14" s="726">
        <v>0</v>
      </c>
      <c r="G14" s="734">
        <v>0</v>
      </c>
      <c r="I14" s="372" t="s">
        <v>311</v>
      </c>
      <c r="J14" s="372">
        <v>0</v>
      </c>
      <c r="K14" s="726">
        <v>0</v>
      </c>
      <c r="L14" s="734">
        <v>0</v>
      </c>
      <c r="M14" s="650"/>
    </row>
    <row r="15" spans="1:18" ht="24.95" customHeight="1" x14ac:dyDescent="0.3">
      <c r="A15" s="372" t="s">
        <v>312</v>
      </c>
      <c r="B15" s="372">
        <v>78000</v>
      </c>
      <c r="C15" s="726">
        <v>52000</v>
      </c>
      <c r="D15" s="734">
        <v>26000</v>
      </c>
      <c r="E15" s="372">
        <v>0</v>
      </c>
      <c r="F15" s="726">
        <v>0</v>
      </c>
      <c r="G15" s="734">
        <v>0</v>
      </c>
      <c r="I15" s="372" t="s">
        <v>312</v>
      </c>
      <c r="J15" s="372">
        <v>78000</v>
      </c>
      <c r="K15" s="726">
        <v>52000</v>
      </c>
      <c r="L15" s="734">
        <v>26000</v>
      </c>
      <c r="M15" s="650"/>
    </row>
    <row r="16" spans="1:18" ht="24.95" customHeight="1" x14ac:dyDescent="0.3">
      <c r="A16" s="372" t="s">
        <v>313</v>
      </c>
      <c r="B16" s="372">
        <v>0</v>
      </c>
      <c r="C16" s="726">
        <v>0</v>
      </c>
      <c r="D16" s="734">
        <v>0</v>
      </c>
      <c r="E16" s="372">
        <v>0</v>
      </c>
      <c r="F16" s="726">
        <v>0</v>
      </c>
      <c r="G16" s="734">
        <v>0</v>
      </c>
      <c r="I16" s="372" t="s">
        <v>313</v>
      </c>
      <c r="J16" s="372">
        <v>0</v>
      </c>
      <c r="K16" s="726">
        <v>0</v>
      </c>
      <c r="L16" s="734">
        <v>0</v>
      </c>
      <c r="M16" s="650"/>
    </row>
    <row r="17" spans="1:18" ht="24.95" customHeight="1" x14ac:dyDescent="0.3">
      <c r="A17" s="372" t="s">
        <v>314</v>
      </c>
      <c r="B17" s="372">
        <v>0</v>
      </c>
      <c r="C17" s="726">
        <v>0</v>
      </c>
      <c r="D17" s="734">
        <v>0</v>
      </c>
      <c r="E17" s="372">
        <v>0</v>
      </c>
      <c r="F17" s="726">
        <v>0</v>
      </c>
      <c r="G17" s="734">
        <v>0</v>
      </c>
      <c r="I17" s="372" t="s">
        <v>314</v>
      </c>
      <c r="J17" s="372">
        <v>0</v>
      </c>
      <c r="K17" s="726">
        <v>0</v>
      </c>
      <c r="L17" s="734">
        <v>0</v>
      </c>
      <c r="M17" s="650"/>
    </row>
    <row r="18" spans="1:18" ht="24.95" customHeight="1" x14ac:dyDescent="0.3">
      <c r="A18" s="372" t="s">
        <v>315</v>
      </c>
      <c r="B18" s="372">
        <v>0</v>
      </c>
      <c r="C18" s="726">
        <v>0</v>
      </c>
      <c r="D18" s="734">
        <v>0</v>
      </c>
      <c r="E18" s="372">
        <v>0</v>
      </c>
      <c r="F18" s="726">
        <v>0</v>
      </c>
      <c r="G18" s="734">
        <v>0</v>
      </c>
      <c r="I18" s="372" t="s">
        <v>315</v>
      </c>
      <c r="J18" s="372">
        <v>0</v>
      </c>
      <c r="K18" s="726">
        <v>0</v>
      </c>
      <c r="L18" s="734">
        <v>0</v>
      </c>
      <c r="M18" s="650"/>
    </row>
    <row r="19" spans="1:18" ht="24.95" customHeight="1" x14ac:dyDescent="0.3">
      <c r="A19" s="372" t="s">
        <v>390</v>
      </c>
      <c r="B19" s="372">
        <v>0</v>
      </c>
      <c r="C19" s="726">
        <v>0</v>
      </c>
      <c r="D19" s="734">
        <v>0</v>
      </c>
      <c r="E19" s="372"/>
      <c r="F19" s="726">
        <v>0</v>
      </c>
      <c r="G19" s="734">
        <v>0</v>
      </c>
      <c r="I19" s="372" t="s">
        <v>390</v>
      </c>
      <c r="J19" s="372">
        <v>0</v>
      </c>
      <c r="K19" s="726">
        <v>0</v>
      </c>
      <c r="L19" s="734">
        <v>0</v>
      </c>
      <c r="M19" s="650"/>
    </row>
    <row r="20" spans="1:18" s="385" customFormat="1" ht="24.95" customHeight="1" x14ac:dyDescent="0.3">
      <c r="A20" s="526" t="s">
        <v>12</v>
      </c>
      <c r="B20" s="375">
        <v>0</v>
      </c>
      <c r="C20" s="727">
        <v>0</v>
      </c>
      <c r="D20" s="735">
        <v>0</v>
      </c>
      <c r="E20" s="375">
        <v>0</v>
      </c>
      <c r="F20" s="727">
        <v>0</v>
      </c>
      <c r="G20" s="735">
        <v>0</v>
      </c>
      <c r="I20" s="526" t="s">
        <v>12</v>
      </c>
      <c r="J20" s="375">
        <v>0</v>
      </c>
      <c r="K20" s="727">
        <v>0</v>
      </c>
      <c r="L20" s="735">
        <v>0</v>
      </c>
      <c r="M20" s="823"/>
      <c r="N20" s="366"/>
      <c r="O20" s="602"/>
      <c r="P20" s="366"/>
      <c r="Q20" s="366"/>
      <c r="R20" s="2844"/>
    </row>
    <row r="21" spans="1:18" ht="24.95" customHeight="1" x14ac:dyDescent="0.3">
      <c r="A21" s="372" t="s">
        <v>391</v>
      </c>
      <c r="B21" s="372">
        <v>0</v>
      </c>
      <c r="C21" s="726">
        <v>0</v>
      </c>
      <c r="D21" s="734">
        <v>0</v>
      </c>
      <c r="E21" s="372">
        <v>0</v>
      </c>
      <c r="F21" s="726">
        <v>0</v>
      </c>
      <c r="G21" s="734">
        <v>0</v>
      </c>
      <c r="I21" s="372" t="s">
        <v>391</v>
      </c>
      <c r="J21" s="372">
        <v>0</v>
      </c>
      <c r="K21" s="726">
        <v>0</v>
      </c>
      <c r="L21" s="734">
        <v>0</v>
      </c>
      <c r="M21" s="650"/>
      <c r="N21" s="379"/>
    </row>
    <row r="22" spans="1:18" ht="24.95" customHeight="1" x14ac:dyDescent="0.3">
      <c r="A22" s="372" t="s">
        <v>392</v>
      </c>
      <c r="B22" s="372">
        <v>0</v>
      </c>
      <c r="C22" s="726">
        <v>0</v>
      </c>
      <c r="D22" s="734">
        <v>0</v>
      </c>
      <c r="E22" s="372">
        <v>0</v>
      </c>
      <c r="F22" s="726">
        <v>0</v>
      </c>
      <c r="G22" s="734">
        <v>0</v>
      </c>
      <c r="I22" s="372" t="s">
        <v>392</v>
      </c>
      <c r="J22" s="372">
        <v>0</v>
      </c>
      <c r="K22" s="726">
        <v>0</v>
      </c>
      <c r="L22" s="734">
        <v>0</v>
      </c>
      <c r="M22" s="650"/>
      <c r="N22" s="339"/>
    </row>
    <row r="23" spans="1:18" ht="24.95" customHeight="1" x14ac:dyDescent="0.3">
      <c r="A23" s="372" t="s">
        <v>393</v>
      </c>
      <c r="B23" s="372">
        <v>0</v>
      </c>
      <c r="C23" s="726">
        <v>0</v>
      </c>
      <c r="D23" s="734">
        <v>0</v>
      </c>
      <c r="E23" s="372">
        <v>0</v>
      </c>
      <c r="F23" s="726">
        <v>0</v>
      </c>
      <c r="G23" s="734">
        <v>0</v>
      </c>
      <c r="I23" s="372" t="s">
        <v>393</v>
      </c>
      <c r="J23" s="372">
        <v>0</v>
      </c>
      <c r="K23" s="726">
        <v>0</v>
      </c>
      <c r="L23" s="734">
        <v>0</v>
      </c>
      <c r="M23" s="650"/>
      <c r="N23" s="379"/>
      <c r="P23" s="591"/>
    </row>
    <row r="24" spans="1:18" ht="24.95" customHeight="1" x14ac:dyDescent="0.3">
      <c r="A24" s="372" t="s">
        <v>394</v>
      </c>
      <c r="B24" s="372">
        <v>0</v>
      </c>
      <c r="C24" s="726">
        <v>0</v>
      </c>
      <c r="D24" s="734">
        <v>0</v>
      </c>
      <c r="E24" s="372">
        <v>0</v>
      </c>
      <c r="F24" s="726">
        <v>0</v>
      </c>
      <c r="G24" s="734">
        <v>0</v>
      </c>
      <c r="I24" s="372" t="s">
        <v>394</v>
      </c>
      <c r="J24" s="372">
        <v>0</v>
      </c>
      <c r="K24" s="726">
        <v>0</v>
      </c>
      <c r="L24" s="734">
        <v>0</v>
      </c>
      <c r="M24" s="650"/>
      <c r="N24" s="339"/>
      <c r="O24" s="626"/>
      <c r="P24" s="2845"/>
      <c r="Q24" s="385"/>
    </row>
    <row r="25" spans="1:18" ht="24.95" customHeight="1" x14ac:dyDescent="0.3">
      <c r="A25" s="412"/>
      <c r="B25" s="377"/>
      <c r="C25" s="728"/>
      <c r="D25" s="736"/>
      <c r="E25" s="377"/>
      <c r="F25" s="728"/>
      <c r="G25" s="736"/>
      <c r="I25" s="412"/>
      <c r="J25" s="377"/>
      <c r="K25" s="728"/>
      <c r="L25" s="736"/>
      <c r="M25" s="650"/>
    </row>
    <row r="26" spans="1:18" x14ac:dyDescent="0.3">
      <c r="P26" s="602"/>
      <c r="Q26" s="602"/>
    </row>
    <row r="27" spans="1:18" x14ac:dyDescent="0.3">
      <c r="P27" s="602"/>
      <c r="Q27" s="602"/>
    </row>
    <row r="28" spans="1:18" x14ac:dyDescent="0.3">
      <c r="P28" s="602"/>
      <c r="Q28" s="602"/>
    </row>
    <row r="29" spans="1:18" x14ac:dyDescent="0.3">
      <c r="P29" s="602"/>
    </row>
    <row r="34" spans="1:7" x14ac:dyDescent="0.3">
      <c r="A34" s="3497" t="s">
        <v>0</v>
      </c>
      <c r="B34" s="3525" t="s">
        <v>1</v>
      </c>
      <c r="C34" s="3525"/>
      <c r="D34" s="3525"/>
      <c r="E34" s="3526" t="s">
        <v>3</v>
      </c>
      <c r="F34" s="3526"/>
      <c r="G34" s="3526"/>
    </row>
    <row r="35" spans="1:7" x14ac:dyDescent="0.3">
      <c r="A35" s="3499"/>
      <c r="B35" s="386" t="s">
        <v>28</v>
      </c>
      <c r="C35" s="742" t="s">
        <v>34</v>
      </c>
      <c r="D35" s="740" t="s">
        <v>62</v>
      </c>
      <c r="E35" s="386" t="s">
        <v>28</v>
      </c>
      <c r="F35" s="742" t="s">
        <v>34</v>
      </c>
      <c r="G35" s="740" t="s">
        <v>62</v>
      </c>
    </row>
    <row r="36" spans="1:7" ht="19.5" thickBot="1" x14ac:dyDescent="0.35">
      <c r="A36" s="407" t="s">
        <v>28</v>
      </c>
      <c r="B36" s="367">
        <v>0</v>
      </c>
      <c r="C36" s="724">
        <v>0</v>
      </c>
      <c r="D36" s="732">
        <v>0</v>
      </c>
      <c r="E36" s="367">
        <v>0</v>
      </c>
      <c r="F36" s="724">
        <v>0</v>
      </c>
      <c r="G36" s="732">
        <v>0</v>
      </c>
    </row>
    <row r="37" spans="1:7" ht="19.5" thickTop="1" x14ac:dyDescent="0.3">
      <c r="A37" s="409" t="s">
        <v>7</v>
      </c>
      <c r="B37" s="370">
        <v>0</v>
      </c>
      <c r="C37" s="725">
        <v>0</v>
      </c>
      <c r="D37" s="733">
        <v>0</v>
      </c>
      <c r="E37" s="370">
        <v>0</v>
      </c>
      <c r="F37" s="725">
        <v>0</v>
      </c>
      <c r="G37" s="733">
        <v>0</v>
      </c>
    </row>
    <row r="38" spans="1:7" x14ac:dyDescent="0.3">
      <c r="A38" s="398" t="s">
        <v>8</v>
      </c>
      <c r="B38" s="372">
        <v>0</v>
      </c>
      <c r="C38" s="726">
        <v>0</v>
      </c>
      <c r="D38" s="734">
        <v>0</v>
      </c>
      <c r="E38" s="372">
        <v>0</v>
      </c>
      <c r="F38" s="726"/>
      <c r="G38" s="734"/>
    </row>
    <row r="39" spans="1:7" x14ac:dyDescent="0.3">
      <c r="A39" s="398" t="s">
        <v>306</v>
      </c>
      <c r="B39" s="372">
        <v>0</v>
      </c>
      <c r="C39" s="726">
        <v>0</v>
      </c>
      <c r="D39" s="734">
        <v>0</v>
      </c>
      <c r="E39" s="372">
        <v>0</v>
      </c>
      <c r="F39" s="726"/>
      <c r="G39" s="734"/>
    </row>
    <row r="40" spans="1:7" x14ac:dyDescent="0.3">
      <c r="A40" s="398"/>
      <c r="B40" s="372"/>
      <c r="C40" s="726"/>
      <c r="D40" s="734"/>
      <c r="E40" s="372"/>
      <c r="F40" s="726"/>
      <c r="G40" s="734"/>
    </row>
    <row r="41" spans="1:7" x14ac:dyDescent="0.3">
      <c r="A41" s="387" t="s">
        <v>9</v>
      </c>
      <c r="B41" s="375">
        <v>0</v>
      </c>
      <c r="C41" s="727">
        <v>0</v>
      </c>
      <c r="D41" s="735">
        <v>0</v>
      </c>
      <c r="E41" s="375">
        <v>0</v>
      </c>
      <c r="F41" s="727">
        <v>0</v>
      </c>
      <c r="G41" s="735">
        <v>0</v>
      </c>
    </row>
    <row r="42" spans="1:7" x14ac:dyDescent="0.3">
      <c r="A42" s="372" t="s">
        <v>308</v>
      </c>
      <c r="B42" s="372">
        <v>0</v>
      </c>
      <c r="C42" s="726">
        <v>0</v>
      </c>
      <c r="D42" s="734">
        <v>0</v>
      </c>
      <c r="E42" s="372">
        <v>0</v>
      </c>
      <c r="F42" s="726"/>
      <c r="G42" s="734"/>
    </row>
    <row r="43" spans="1:7" x14ac:dyDescent="0.3">
      <c r="A43" s="372" t="s">
        <v>309</v>
      </c>
      <c r="B43" s="372">
        <v>0</v>
      </c>
      <c r="C43" s="726">
        <v>0</v>
      </c>
      <c r="D43" s="734">
        <v>0</v>
      </c>
      <c r="E43" s="372">
        <v>0</v>
      </c>
      <c r="F43" s="726"/>
      <c r="G43" s="734"/>
    </row>
    <row r="44" spans="1:7" x14ac:dyDescent="0.3">
      <c r="A44" s="372" t="s">
        <v>310</v>
      </c>
      <c r="B44" s="372">
        <v>0</v>
      </c>
      <c r="C44" s="726">
        <v>0</v>
      </c>
      <c r="D44" s="734">
        <v>0</v>
      </c>
      <c r="E44" s="372">
        <v>0</v>
      </c>
      <c r="F44" s="726"/>
      <c r="G44" s="734"/>
    </row>
    <row r="45" spans="1:7" x14ac:dyDescent="0.3">
      <c r="A45" s="372" t="s">
        <v>311</v>
      </c>
      <c r="B45" s="372">
        <v>0</v>
      </c>
      <c r="C45" s="726">
        <v>0</v>
      </c>
      <c r="D45" s="734">
        <v>0</v>
      </c>
      <c r="E45" s="372">
        <v>0</v>
      </c>
      <c r="F45" s="726"/>
      <c r="G45" s="734"/>
    </row>
    <row r="46" spans="1:7" x14ac:dyDescent="0.3">
      <c r="A46" s="372" t="s">
        <v>312</v>
      </c>
      <c r="B46" s="372">
        <v>0</v>
      </c>
      <c r="C46" s="726">
        <v>0</v>
      </c>
      <c r="D46" s="734">
        <v>0</v>
      </c>
      <c r="E46" s="372">
        <v>0</v>
      </c>
      <c r="F46" s="726"/>
      <c r="G46" s="734"/>
    </row>
    <row r="47" spans="1:7" x14ac:dyDescent="0.3">
      <c r="A47" s="372" t="s">
        <v>313</v>
      </c>
      <c r="B47" s="372">
        <v>0</v>
      </c>
      <c r="C47" s="726">
        <v>0</v>
      </c>
      <c r="D47" s="734">
        <v>0</v>
      </c>
      <c r="E47" s="372">
        <v>0</v>
      </c>
      <c r="F47" s="726"/>
      <c r="G47" s="734"/>
    </row>
    <row r="48" spans="1:7" x14ac:dyDescent="0.3">
      <c r="A48" s="372" t="s">
        <v>314</v>
      </c>
      <c r="B48" s="372">
        <v>0</v>
      </c>
      <c r="C48" s="726">
        <v>0</v>
      </c>
      <c r="D48" s="734">
        <v>0</v>
      </c>
      <c r="E48" s="372">
        <v>0</v>
      </c>
      <c r="F48" s="726"/>
      <c r="G48" s="734"/>
    </row>
    <row r="49" spans="1:7" x14ac:dyDescent="0.3">
      <c r="A49" s="372" t="s">
        <v>315</v>
      </c>
      <c r="B49" s="372">
        <v>0</v>
      </c>
      <c r="C49" s="726">
        <v>0</v>
      </c>
      <c r="D49" s="734">
        <v>0</v>
      </c>
      <c r="E49" s="372">
        <v>0</v>
      </c>
      <c r="F49" s="726"/>
      <c r="G49" s="734"/>
    </row>
    <row r="50" spans="1:7" x14ac:dyDescent="0.3">
      <c r="A50" s="372" t="s">
        <v>390</v>
      </c>
      <c r="B50" s="372">
        <v>0</v>
      </c>
      <c r="C50" s="726">
        <v>0</v>
      </c>
      <c r="D50" s="734">
        <v>0</v>
      </c>
      <c r="E50" s="372">
        <v>0</v>
      </c>
      <c r="F50" s="726"/>
      <c r="G50" s="734"/>
    </row>
    <row r="51" spans="1:7" x14ac:dyDescent="0.3">
      <c r="A51" s="526" t="s">
        <v>12</v>
      </c>
      <c r="B51" s="375">
        <v>0</v>
      </c>
      <c r="C51" s="727">
        <v>0</v>
      </c>
      <c r="D51" s="735">
        <v>0</v>
      </c>
      <c r="E51" s="375">
        <v>0</v>
      </c>
      <c r="F51" s="727">
        <v>0</v>
      </c>
      <c r="G51" s="735">
        <v>0</v>
      </c>
    </row>
    <row r="52" spans="1:7" x14ac:dyDescent="0.3">
      <c r="A52" s="372" t="s">
        <v>391</v>
      </c>
      <c r="B52" s="372">
        <v>0</v>
      </c>
      <c r="C52" s="726">
        <v>0</v>
      </c>
      <c r="D52" s="734">
        <v>0</v>
      </c>
      <c r="E52" s="372">
        <v>0</v>
      </c>
      <c r="F52" s="726"/>
      <c r="G52" s="734"/>
    </row>
    <row r="53" spans="1:7" x14ac:dyDescent="0.3">
      <c r="A53" s="372" t="s">
        <v>392</v>
      </c>
      <c r="B53" s="372">
        <v>0</v>
      </c>
      <c r="C53" s="726">
        <v>0</v>
      </c>
      <c r="D53" s="734">
        <v>0</v>
      </c>
      <c r="E53" s="372">
        <v>0</v>
      </c>
      <c r="F53" s="726"/>
      <c r="G53" s="734"/>
    </row>
    <row r="54" spans="1:7" x14ac:dyDescent="0.3">
      <c r="A54" s="372" t="s">
        <v>393</v>
      </c>
      <c r="B54" s="372">
        <v>0</v>
      </c>
      <c r="C54" s="726">
        <v>0</v>
      </c>
      <c r="D54" s="734">
        <v>0</v>
      </c>
      <c r="E54" s="372">
        <v>0</v>
      </c>
      <c r="F54" s="726"/>
      <c r="G54" s="734"/>
    </row>
    <row r="55" spans="1:7" x14ac:dyDescent="0.3">
      <c r="A55" s="372" t="s">
        <v>394</v>
      </c>
      <c r="B55" s="372">
        <v>0</v>
      </c>
      <c r="C55" s="726">
        <v>0</v>
      </c>
      <c r="D55" s="734">
        <v>0</v>
      </c>
      <c r="E55" s="372">
        <v>0</v>
      </c>
      <c r="F55" s="726"/>
      <c r="G55" s="734"/>
    </row>
    <row r="56" spans="1:7" x14ac:dyDescent="0.3">
      <c r="A56" s="412"/>
      <c r="B56" s="377"/>
      <c r="C56" s="728"/>
      <c r="D56" s="736"/>
      <c r="E56" s="377"/>
      <c r="F56" s="728"/>
      <c r="G56" s="736"/>
    </row>
    <row r="68" spans="1:7" x14ac:dyDescent="0.3">
      <c r="A68" s="3497" t="s">
        <v>0</v>
      </c>
      <c r="B68" s="3526" t="s">
        <v>24</v>
      </c>
      <c r="C68" s="3526"/>
      <c r="D68" s="3526"/>
      <c r="E68" s="3526" t="s">
        <v>23</v>
      </c>
      <c r="F68" s="3526"/>
      <c r="G68" s="3526"/>
    </row>
    <row r="69" spans="1:7" x14ac:dyDescent="0.3">
      <c r="A69" s="3499"/>
      <c r="B69" s="386" t="s">
        <v>28</v>
      </c>
      <c r="C69" s="742" t="s">
        <v>34</v>
      </c>
      <c r="D69" s="740" t="s">
        <v>62</v>
      </c>
      <c r="E69" s="386" t="s">
        <v>28</v>
      </c>
      <c r="F69" s="742" t="s">
        <v>34</v>
      </c>
      <c r="G69" s="740" t="s">
        <v>62</v>
      </c>
    </row>
    <row r="70" spans="1:7" ht="19.5" thickBot="1" x14ac:dyDescent="0.35">
      <c r="A70" s="407" t="s">
        <v>28</v>
      </c>
      <c r="B70" s="367">
        <v>0</v>
      </c>
      <c r="C70" s="724">
        <v>0</v>
      </c>
      <c r="D70" s="732">
        <v>0</v>
      </c>
      <c r="E70" s="367">
        <v>0</v>
      </c>
      <c r="F70" s="724">
        <v>0</v>
      </c>
      <c r="G70" s="732">
        <v>0</v>
      </c>
    </row>
    <row r="71" spans="1:7" ht="19.5" thickTop="1" x14ac:dyDescent="0.3">
      <c r="A71" s="409" t="s">
        <v>7</v>
      </c>
      <c r="B71" s="370">
        <v>0</v>
      </c>
      <c r="C71" s="725">
        <v>0</v>
      </c>
      <c r="D71" s="733">
        <v>0</v>
      </c>
      <c r="E71" s="370">
        <v>0</v>
      </c>
      <c r="F71" s="725">
        <v>0</v>
      </c>
      <c r="G71" s="733">
        <v>0</v>
      </c>
    </row>
    <row r="72" spans="1:7" x14ac:dyDescent="0.3">
      <c r="A72" s="398" t="s">
        <v>8</v>
      </c>
      <c r="B72" s="372">
        <v>0</v>
      </c>
      <c r="C72" s="726"/>
      <c r="D72" s="734"/>
      <c r="E72" s="372">
        <v>0</v>
      </c>
      <c r="F72" s="726"/>
      <c r="G72" s="734"/>
    </row>
    <row r="73" spans="1:7" x14ac:dyDescent="0.3">
      <c r="A73" s="398" t="s">
        <v>306</v>
      </c>
      <c r="B73" s="372">
        <v>0</v>
      </c>
      <c r="C73" s="726"/>
      <c r="D73" s="734"/>
      <c r="E73" s="372">
        <v>0</v>
      </c>
      <c r="F73" s="726"/>
      <c r="G73" s="734"/>
    </row>
    <row r="74" spans="1:7" x14ac:dyDescent="0.3">
      <c r="A74" s="398"/>
      <c r="B74" s="372"/>
      <c r="C74" s="726"/>
      <c r="D74" s="734"/>
      <c r="E74" s="372"/>
      <c r="F74" s="726"/>
      <c r="G74" s="734"/>
    </row>
    <row r="75" spans="1:7" x14ac:dyDescent="0.3">
      <c r="A75" s="387" t="s">
        <v>9</v>
      </c>
      <c r="B75" s="375">
        <v>0</v>
      </c>
      <c r="C75" s="727">
        <v>0</v>
      </c>
      <c r="D75" s="735">
        <v>0</v>
      </c>
      <c r="E75" s="375">
        <v>0</v>
      </c>
      <c r="F75" s="727">
        <v>0</v>
      </c>
      <c r="G75" s="735">
        <v>0</v>
      </c>
    </row>
    <row r="76" spans="1:7" x14ac:dyDescent="0.3">
      <c r="A76" s="372" t="s">
        <v>308</v>
      </c>
      <c r="B76" s="372">
        <v>0</v>
      </c>
      <c r="C76" s="726"/>
      <c r="D76" s="734"/>
      <c r="E76" s="372">
        <v>0</v>
      </c>
      <c r="F76" s="726"/>
      <c r="G76" s="734"/>
    </row>
    <row r="77" spans="1:7" x14ac:dyDescent="0.3">
      <c r="A77" s="372" t="s">
        <v>309</v>
      </c>
      <c r="B77" s="372">
        <v>0</v>
      </c>
      <c r="C77" s="726"/>
      <c r="D77" s="734"/>
      <c r="E77" s="372">
        <v>0</v>
      </c>
      <c r="F77" s="726"/>
      <c r="G77" s="734"/>
    </row>
    <row r="78" spans="1:7" x14ac:dyDescent="0.3">
      <c r="A78" s="372" t="s">
        <v>310</v>
      </c>
      <c r="B78" s="372">
        <v>0</v>
      </c>
      <c r="C78" s="726"/>
      <c r="D78" s="734"/>
      <c r="E78" s="372">
        <v>0</v>
      </c>
      <c r="F78" s="726"/>
      <c r="G78" s="734"/>
    </row>
    <row r="79" spans="1:7" x14ac:dyDescent="0.3">
      <c r="A79" s="372" t="s">
        <v>311</v>
      </c>
      <c r="B79" s="372">
        <v>0</v>
      </c>
      <c r="C79" s="726"/>
      <c r="D79" s="734"/>
      <c r="E79" s="372">
        <v>0</v>
      </c>
      <c r="F79" s="726"/>
      <c r="G79" s="734"/>
    </row>
    <row r="80" spans="1:7" x14ac:dyDescent="0.3">
      <c r="A80" s="372" t="s">
        <v>312</v>
      </c>
      <c r="B80" s="372">
        <v>0</v>
      </c>
      <c r="C80" s="726"/>
      <c r="D80" s="734"/>
      <c r="E80" s="372">
        <v>0</v>
      </c>
      <c r="F80" s="726"/>
      <c r="G80" s="734"/>
    </row>
    <row r="81" spans="1:7" x14ac:dyDescent="0.3">
      <c r="A81" s="372" t="s">
        <v>313</v>
      </c>
      <c r="B81" s="372">
        <v>0</v>
      </c>
      <c r="C81" s="726"/>
      <c r="D81" s="734"/>
      <c r="E81" s="372">
        <v>0</v>
      </c>
      <c r="F81" s="726"/>
      <c r="G81" s="734"/>
    </row>
    <row r="82" spans="1:7" x14ac:dyDescent="0.3">
      <c r="A82" s="372" t="s">
        <v>314</v>
      </c>
      <c r="B82" s="372">
        <v>0</v>
      </c>
      <c r="C82" s="726"/>
      <c r="D82" s="734"/>
      <c r="E82" s="372">
        <v>0</v>
      </c>
      <c r="F82" s="726"/>
      <c r="G82" s="734"/>
    </row>
    <row r="83" spans="1:7" x14ac:dyDescent="0.3">
      <c r="A83" s="372" t="s">
        <v>315</v>
      </c>
      <c r="B83" s="372">
        <v>0</v>
      </c>
      <c r="C83" s="726"/>
      <c r="D83" s="734"/>
      <c r="E83" s="372">
        <v>0</v>
      </c>
      <c r="F83" s="726"/>
      <c r="G83" s="734"/>
    </row>
    <row r="84" spans="1:7" x14ac:dyDescent="0.3">
      <c r="A84" s="372" t="s">
        <v>390</v>
      </c>
      <c r="B84" s="372"/>
      <c r="C84" s="726"/>
      <c r="D84" s="734"/>
      <c r="E84" s="372"/>
      <c r="F84" s="726"/>
      <c r="G84" s="734"/>
    </row>
    <row r="85" spans="1:7" x14ac:dyDescent="0.3">
      <c r="A85" s="387" t="s">
        <v>12</v>
      </c>
      <c r="B85" s="375">
        <v>0</v>
      </c>
      <c r="C85" s="727">
        <v>0</v>
      </c>
      <c r="D85" s="735">
        <v>0</v>
      </c>
      <c r="E85" s="375">
        <v>0</v>
      </c>
      <c r="F85" s="727">
        <v>0</v>
      </c>
      <c r="G85" s="735">
        <v>0</v>
      </c>
    </row>
    <row r="86" spans="1:7" x14ac:dyDescent="0.3">
      <c r="A86" s="372" t="s">
        <v>391</v>
      </c>
      <c r="B86" s="372">
        <v>0</v>
      </c>
      <c r="C86" s="726"/>
      <c r="D86" s="734"/>
      <c r="E86" s="372">
        <v>0</v>
      </c>
      <c r="F86" s="726"/>
      <c r="G86" s="734"/>
    </row>
    <row r="87" spans="1:7" x14ac:dyDescent="0.3">
      <c r="A87" s="372" t="s">
        <v>392</v>
      </c>
      <c r="B87" s="372">
        <v>0</v>
      </c>
      <c r="C87" s="726"/>
      <c r="D87" s="734"/>
      <c r="E87" s="372">
        <v>0</v>
      </c>
      <c r="F87" s="726"/>
      <c r="G87" s="734"/>
    </row>
    <row r="88" spans="1:7" x14ac:dyDescent="0.3">
      <c r="A88" s="372" t="s">
        <v>393</v>
      </c>
      <c r="B88" s="372">
        <v>0</v>
      </c>
      <c r="C88" s="726"/>
      <c r="D88" s="734"/>
      <c r="E88" s="372">
        <v>0</v>
      </c>
      <c r="F88" s="726"/>
      <c r="G88" s="734"/>
    </row>
    <row r="89" spans="1:7" x14ac:dyDescent="0.3">
      <c r="A89" s="372" t="s">
        <v>394</v>
      </c>
      <c r="B89" s="372">
        <v>0</v>
      </c>
      <c r="C89" s="726"/>
      <c r="D89" s="734"/>
      <c r="E89" s="372">
        <v>0</v>
      </c>
      <c r="F89" s="726"/>
      <c r="G89" s="734"/>
    </row>
    <row r="90" spans="1:7" x14ac:dyDescent="0.3">
      <c r="A90" s="412"/>
      <c r="B90" s="377"/>
      <c r="C90" s="728"/>
      <c r="D90" s="736"/>
      <c r="E90" s="377"/>
      <c r="F90" s="728"/>
      <c r="G90" s="736"/>
    </row>
    <row r="102" spans="1:7" x14ac:dyDescent="0.3">
      <c r="A102" s="3497" t="s">
        <v>0</v>
      </c>
      <c r="B102" s="3526" t="s">
        <v>4</v>
      </c>
      <c r="C102" s="3526"/>
      <c r="D102" s="3526"/>
      <c r="E102" s="3526" t="s">
        <v>20</v>
      </c>
      <c r="F102" s="3526"/>
      <c r="G102" s="3526"/>
    </row>
    <row r="103" spans="1:7" x14ac:dyDescent="0.3">
      <c r="A103" s="3499"/>
      <c r="B103" s="386" t="s">
        <v>28</v>
      </c>
      <c r="C103" s="742" t="s">
        <v>34</v>
      </c>
      <c r="D103" s="740" t="s">
        <v>62</v>
      </c>
      <c r="E103" s="386" t="s">
        <v>28</v>
      </c>
      <c r="F103" s="742" t="s">
        <v>34</v>
      </c>
      <c r="G103" s="740" t="s">
        <v>62</v>
      </c>
    </row>
    <row r="104" spans="1:7" ht="19.5" thickBot="1" x14ac:dyDescent="0.35">
      <c r="A104" s="407" t="s">
        <v>28</v>
      </c>
      <c r="B104" s="367">
        <v>0</v>
      </c>
      <c r="C104" s="724">
        <v>0</v>
      </c>
      <c r="D104" s="732">
        <v>0</v>
      </c>
      <c r="E104" s="367">
        <v>0</v>
      </c>
      <c r="F104" s="724">
        <v>0</v>
      </c>
      <c r="G104" s="732">
        <v>0</v>
      </c>
    </row>
    <row r="105" spans="1:7" ht="19.5" thickTop="1" x14ac:dyDescent="0.3">
      <c r="A105" s="409" t="s">
        <v>7</v>
      </c>
      <c r="B105" s="370">
        <v>0</v>
      </c>
      <c r="C105" s="725">
        <v>0</v>
      </c>
      <c r="D105" s="733">
        <v>0</v>
      </c>
      <c r="E105" s="370">
        <v>0</v>
      </c>
      <c r="F105" s="725">
        <v>0</v>
      </c>
      <c r="G105" s="733">
        <v>0</v>
      </c>
    </row>
    <row r="106" spans="1:7" x14ac:dyDescent="0.3">
      <c r="A106" s="398" t="s">
        <v>8</v>
      </c>
      <c r="B106" s="372">
        <v>0</v>
      </c>
      <c r="C106" s="726"/>
      <c r="D106" s="734"/>
      <c r="E106" s="372">
        <v>0</v>
      </c>
      <c r="F106" s="726"/>
      <c r="G106" s="734"/>
    </row>
    <row r="107" spans="1:7" x14ac:dyDescent="0.3">
      <c r="A107" s="398" t="s">
        <v>306</v>
      </c>
      <c r="B107" s="372">
        <v>0</v>
      </c>
      <c r="C107" s="726"/>
      <c r="D107" s="734"/>
      <c r="E107" s="372">
        <v>0</v>
      </c>
      <c r="F107" s="726"/>
      <c r="G107" s="734"/>
    </row>
    <row r="108" spans="1:7" x14ac:dyDescent="0.3">
      <c r="A108" s="398"/>
      <c r="B108" s="372"/>
      <c r="C108" s="726"/>
      <c r="D108" s="734"/>
      <c r="E108" s="372"/>
      <c r="F108" s="726"/>
      <c r="G108" s="734"/>
    </row>
    <row r="109" spans="1:7" x14ac:dyDescent="0.3">
      <c r="B109" s="372"/>
      <c r="C109" s="726"/>
      <c r="D109" s="734"/>
      <c r="E109" s="372"/>
      <c r="F109" s="726"/>
      <c r="G109" s="734"/>
    </row>
    <row r="110" spans="1:7" x14ac:dyDescent="0.3">
      <c r="A110" s="387" t="s">
        <v>9</v>
      </c>
      <c r="B110" s="375">
        <v>0</v>
      </c>
      <c r="C110" s="727">
        <v>0</v>
      </c>
      <c r="D110" s="735">
        <v>0</v>
      </c>
      <c r="E110" s="375">
        <v>0</v>
      </c>
      <c r="F110" s="727">
        <v>0</v>
      </c>
      <c r="G110" s="735">
        <v>0</v>
      </c>
    </row>
    <row r="111" spans="1:7" x14ac:dyDescent="0.3">
      <c r="A111" s="372" t="s">
        <v>308</v>
      </c>
      <c r="B111" s="372">
        <v>0</v>
      </c>
      <c r="C111" s="726"/>
      <c r="D111" s="734"/>
      <c r="E111" s="372">
        <v>0</v>
      </c>
      <c r="F111" s="726"/>
      <c r="G111" s="734"/>
    </row>
    <row r="112" spans="1:7" x14ac:dyDescent="0.3">
      <c r="A112" s="372" t="s">
        <v>309</v>
      </c>
      <c r="B112" s="372">
        <v>0</v>
      </c>
      <c r="C112" s="726"/>
      <c r="D112" s="734"/>
      <c r="E112" s="372">
        <v>0</v>
      </c>
      <c r="F112" s="726"/>
      <c r="G112" s="734"/>
    </row>
    <row r="113" spans="1:7" x14ac:dyDescent="0.3">
      <c r="A113" s="372" t="s">
        <v>310</v>
      </c>
      <c r="B113" s="372">
        <v>0</v>
      </c>
      <c r="C113" s="726"/>
      <c r="D113" s="734"/>
      <c r="E113" s="372">
        <v>0</v>
      </c>
      <c r="F113" s="726"/>
      <c r="G113" s="734"/>
    </row>
    <row r="114" spans="1:7" x14ac:dyDescent="0.3">
      <c r="A114" s="372" t="s">
        <v>311</v>
      </c>
      <c r="B114" s="372">
        <v>0</v>
      </c>
      <c r="C114" s="726"/>
      <c r="D114" s="734"/>
      <c r="E114" s="372">
        <v>0</v>
      </c>
      <c r="F114" s="726"/>
      <c r="G114" s="734"/>
    </row>
    <row r="115" spans="1:7" x14ac:dyDescent="0.3">
      <c r="A115" s="372" t="s">
        <v>312</v>
      </c>
      <c r="B115" s="372">
        <v>0</v>
      </c>
      <c r="C115" s="726"/>
      <c r="D115" s="734"/>
      <c r="E115" s="372">
        <v>0</v>
      </c>
      <c r="F115" s="726"/>
      <c r="G115" s="734"/>
    </row>
    <row r="116" spans="1:7" x14ac:dyDescent="0.3">
      <c r="A116" s="372" t="s">
        <v>313</v>
      </c>
      <c r="B116" s="372">
        <v>0</v>
      </c>
      <c r="C116" s="726"/>
      <c r="D116" s="734"/>
      <c r="E116" s="372">
        <v>0</v>
      </c>
      <c r="F116" s="726"/>
      <c r="G116" s="734"/>
    </row>
    <row r="117" spans="1:7" x14ac:dyDescent="0.3">
      <c r="A117" s="372" t="s">
        <v>314</v>
      </c>
      <c r="B117" s="372">
        <v>0</v>
      </c>
      <c r="C117" s="726"/>
      <c r="D117" s="734"/>
      <c r="E117" s="372">
        <v>0</v>
      </c>
      <c r="F117" s="726"/>
      <c r="G117" s="734"/>
    </row>
    <row r="118" spans="1:7" x14ac:dyDescent="0.3">
      <c r="A118" s="372" t="s">
        <v>315</v>
      </c>
      <c r="B118" s="372">
        <v>0</v>
      </c>
      <c r="C118" s="726"/>
      <c r="D118" s="734"/>
      <c r="E118" s="372">
        <v>0</v>
      </c>
      <c r="F118" s="726"/>
      <c r="G118" s="734"/>
    </row>
    <row r="119" spans="1:7" x14ac:dyDescent="0.3">
      <c r="A119" s="372" t="s">
        <v>390</v>
      </c>
      <c r="B119" s="372">
        <v>0</v>
      </c>
      <c r="C119" s="726"/>
      <c r="D119" s="734"/>
      <c r="E119" s="372">
        <v>0</v>
      </c>
      <c r="F119" s="726"/>
      <c r="G119" s="734"/>
    </row>
    <row r="120" spans="1:7" x14ac:dyDescent="0.3">
      <c r="A120" s="526" t="s">
        <v>12</v>
      </c>
      <c r="B120" s="375">
        <v>0</v>
      </c>
      <c r="C120" s="727">
        <v>0</v>
      </c>
      <c r="D120" s="735">
        <v>0</v>
      </c>
      <c r="E120" s="375">
        <v>0</v>
      </c>
      <c r="F120" s="727">
        <v>0</v>
      </c>
      <c r="G120" s="735">
        <v>0</v>
      </c>
    </row>
    <row r="121" spans="1:7" x14ac:dyDescent="0.3">
      <c r="A121" s="372" t="s">
        <v>391</v>
      </c>
      <c r="B121" s="372">
        <v>0</v>
      </c>
      <c r="C121" s="726"/>
      <c r="D121" s="734"/>
      <c r="E121" s="372">
        <v>0</v>
      </c>
      <c r="F121" s="726"/>
      <c r="G121" s="734"/>
    </row>
    <row r="122" spans="1:7" x14ac:dyDescent="0.3">
      <c r="A122" s="372" t="s">
        <v>392</v>
      </c>
      <c r="B122" s="372">
        <v>0</v>
      </c>
      <c r="C122" s="726"/>
      <c r="D122" s="734"/>
      <c r="E122" s="372">
        <v>0</v>
      </c>
      <c r="F122" s="726"/>
      <c r="G122" s="734"/>
    </row>
    <row r="123" spans="1:7" x14ac:dyDescent="0.3">
      <c r="A123" s="372" t="s">
        <v>393</v>
      </c>
      <c r="B123" s="372">
        <v>0</v>
      </c>
      <c r="C123" s="726"/>
      <c r="D123" s="734"/>
      <c r="E123" s="372">
        <v>0</v>
      </c>
      <c r="F123" s="726"/>
      <c r="G123" s="734"/>
    </row>
    <row r="124" spans="1:7" x14ac:dyDescent="0.3">
      <c r="A124" s="372" t="s">
        <v>394</v>
      </c>
      <c r="B124" s="372">
        <v>0</v>
      </c>
      <c r="C124" s="726"/>
      <c r="D124" s="734"/>
      <c r="E124" s="372">
        <v>0</v>
      </c>
      <c r="F124" s="726"/>
      <c r="G124" s="734"/>
    </row>
    <row r="125" spans="1:7" x14ac:dyDescent="0.3">
      <c r="A125" s="412"/>
      <c r="B125" s="377"/>
      <c r="C125" s="728"/>
      <c r="D125" s="736"/>
      <c r="E125" s="377"/>
      <c r="F125" s="728"/>
      <c r="G125" s="736"/>
    </row>
    <row r="127" spans="1:7" ht="24" customHeight="1" x14ac:dyDescent="0.3"/>
    <row r="128" spans="1:7" ht="24" customHeight="1" x14ac:dyDescent="0.3"/>
    <row r="129" spans="1:7" ht="24" customHeight="1" x14ac:dyDescent="0.3"/>
    <row r="130" spans="1:7" ht="24" customHeight="1" x14ac:dyDescent="0.3"/>
    <row r="131" spans="1:7" ht="24" customHeight="1" x14ac:dyDescent="0.3"/>
    <row r="132" spans="1:7" ht="24" customHeight="1" x14ac:dyDescent="0.3"/>
    <row r="133" spans="1:7" ht="24" customHeight="1" x14ac:dyDescent="0.3"/>
    <row r="134" spans="1:7" ht="24" customHeight="1" x14ac:dyDescent="0.3"/>
    <row r="135" spans="1:7" x14ac:dyDescent="0.3">
      <c r="A135" s="3497" t="s">
        <v>0</v>
      </c>
      <c r="B135" s="3526" t="s">
        <v>5</v>
      </c>
      <c r="C135" s="3526"/>
      <c r="D135" s="3526"/>
      <c r="E135" s="3526" t="s">
        <v>21</v>
      </c>
      <c r="F135" s="3526"/>
      <c r="G135" s="3526"/>
    </row>
    <row r="136" spans="1:7" x14ac:dyDescent="0.3">
      <c r="A136" s="3499"/>
      <c r="B136" s="386" t="s">
        <v>28</v>
      </c>
      <c r="C136" s="742" t="s">
        <v>34</v>
      </c>
      <c r="D136" s="740" t="s">
        <v>62</v>
      </c>
      <c r="E136" s="386" t="s">
        <v>28</v>
      </c>
      <c r="F136" s="742" t="s">
        <v>34</v>
      </c>
      <c r="G136" s="740" t="s">
        <v>62</v>
      </c>
    </row>
    <row r="137" spans="1:7" ht="19.5" thickBot="1" x14ac:dyDescent="0.35">
      <c r="A137" s="407" t="s">
        <v>28</v>
      </c>
      <c r="B137" s="367">
        <v>237892</v>
      </c>
      <c r="C137" s="724">
        <v>154918</v>
      </c>
      <c r="D137" s="732">
        <v>82974</v>
      </c>
      <c r="E137" s="367">
        <v>0</v>
      </c>
      <c r="F137" s="724">
        <v>0</v>
      </c>
      <c r="G137" s="732">
        <v>0</v>
      </c>
    </row>
    <row r="138" spans="1:7" ht="19.5" thickTop="1" x14ac:dyDescent="0.3">
      <c r="A138" s="409" t="s">
        <v>7</v>
      </c>
      <c r="B138" s="370">
        <v>0</v>
      </c>
      <c r="C138" s="725">
        <v>0</v>
      </c>
      <c r="D138" s="733">
        <v>0</v>
      </c>
      <c r="E138" s="370">
        <v>0</v>
      </c>
      <c r="F138" s="725">
        <v>0</v>
      </c>
      <c r="G138" s="733">
        <v>0</v>
      </c>
    </row>
    <row r="139" spans="1:7" x14ac:dyDescent="0.3">
      <c r="A139" s="398" t="s">
        <v>8</v>
      </c>
      <c r="B139" s="372">
        <v>0</v>
      </c>
      <c r="C139" s="726">
        <v>0</v>
      </c>
      <c r="D139" s="734">
        <v>0</v>
      </c>
      <c r="E139" s="372">
        <v>0</v>
      </c>
      <c r="F139" s="726"/>
      <c r="G139" s="734"/>
    </row>
    <row r="140" spans="1:7" x14ac:dyDescent="0.3">
      <c r="A140" s="398" t="s">
        <v>306</v>
      </c>
      <c r="B140" s="372">
        <v>0</v>
      </c>
      <c r="C140" s="726">
        <v>0</v>
      </c>
      <c r="D140" s="734">
        <v>0</v>
      </c>
      <c r="E140" s="372">
        <v>0</v>
      </c>
      <c r="F140" s="726"/>
      <c r="G140" s="734"/>
    </row>
    <row r="141" spans="1:7" x14ac:dyDescent="0.3">
      <c r="A141" s="398"/>
      <c r="B141" s="372">
        <v>0</v>
      </c>
      <c r="C141" s="726"/>
      <c r="D141" s="734"/>
      <c r="E141" s="372">
        <v>0</v>
      </c>
      <c r="F141" s="726"/>
      <c r="G141" s="734"/>
    </row>
    <row r="142" spans="1:7" x14ac:dyDescent="0.3">
      <c r="B142" s="372"/>
      <c r="C142" s="726"/>
      <c r="D142" s="734"/>
      <c r="E142" s="372"/>
      <c r="F142" s="726"/>
      <c r="G142" s="734"/>
    </row>
    <row r="143" spans="1:7" x14ac:dyDescent="0.3">
      <c r="A143" s="387" t="s">
        <v>9</v>
      </c>
      <c r="B143" s="375">
        <v>237892</v>
      </c>
      <c r="C143" s="727">
        <v>154918</v>
      </c>
      <c r="D143" s="735">
        <v>82974</v>
      </c>
      <c r="E143" s="375">
        <v>0</v>
      </c>
      <c r="F143" s="727">
        <v>0</v>
      </c>
      <c r="G143" s="735">
        <v>0</v>
      </c>
    </row>
    <row r="144" spans="1:7" x14ac:dyDescent="0.3">
      <c r="A144" s="372" t="s">
        <v>308</v>
      </c>
      <c r="B144" s="372">
        <v>237892</v>
      </c>
      <c r="C144" s="726">
        <v>154918</v>
      </c>
      <c r="D144" s="734">
        <v>82974</v>
      </c>
      <c r="E144" s="372">
        <v>0</v>
      </c>
      <c r="F144" s="726"/>
      <c r="G144" s="734"/>
    </row>
    <row r="145" spans="1:7" x14ac:dyDescent="0.3">
      <c r="A145" s="372" t="s">
        <v>309</v>
      </c>
      <c r="B145" s="372">
        <v>0</v>
      </c>
      <c r="C145" s="726">
        <v>0</v>
      </c>
      <c r="D145" s="734">
        <v>0</v>
      </c>
      <c r="E145" s="372">
        <v>0</v>
      </c>
      <c r="F145" s="726"/>
      <c r="G145" s="734"/>
    </row>
    <row r="146" spans="1:7" x14ac:dyDescent="0.3">
      <c r="A146" s="372" t="s">
        <v>310</v>
      </c>
      <c r="B146" s="372">
        <v>0</v>
      </c>
      <c r="C146" s="726">
        <v>0</v>
      </c>
      <c r="D146" s="734">
        <v>0</v>
      </c>
      <c r="E146" s="372">
        <v>0</v>
      </c>
      <c r="F146" s="726"/>
      <c r="G146" s="734"/>
    </row>
    <row r="147" spans="1:7" x14ac:dyDescent="0.3">
      <c r="A147" s="372" t="s">
        <v>311</v>
      </c>
      <c r="B147" s="372">
        <v>0</v>
      </c>
      <c r="C147" s="726">
        <v>0</v>
      </c>
      <c r="D147" s="734">
        <v>0</v>
      </c>
      <c r="E147" s="372">
        <v>0</v>
      </c>
      <c r="F147" s="726"/>
      <c r="G147" s="734"/>
    </row>
    <row r="148" spans="1:7" x14ac:dyDescent="0.3">
      <c r="A148" s="372" t="s">
        <v>312</v>
      </c>
      <c r="B148" s="372">
        <v>0</v>
      </c>
      <c r="C148" s="726">
        <v>0</v>
      </c>
      <c r="D148" s="734">
        <v>0</v>
      </c>
      <c r="E148" s="372">
        <v>0</v>
      </c>
      <c r="F148" s="726"/>
      <c r="G148" s="734"/>
    </row>
    <row r="149" spans="1:7" x14ac:dyDescent="0.3">
      <c r="A149" s="372" t="s">
        <v>313</v>
      </c>
      <c r="B149" s="372">
        <v>0</v>
      </c>
      <c r="C149" s="726">
        <v>0</v>
      </c>
      <c r="D149" s="734">
        <v>0</v>
      </c>
      <c r="E149" s="372">
        <v>0</v>
      </c>
      <c r="F149" s="726"/>
      <c r="G149" s="734"/>
    </row>
    <row r="150" spans="1:7" x14ac:dyDescent="0.3">
      <c r="A150" s="372" t="s">
        <v>314</v>
      </c>
      <c r="B150" s="372">
        <v>0</v>
      </c>
      <c r="C150" s="726">
        <v>0</v>
      </c>
      <c r="D150" s="734">
        <v>0</v>
      </c>
      <c r="E150" s="372">
        <v>0</v>
      </c>
      <c r="F150" s="726"/>
      <c r="G150" s="734"/>
    </row>
    <row r="151" spans="1:7" x14ac:dyDescent="0.3">
      <c r="A151" s="372" t="s">
        <v>315</v>
      </c>
      <c r="B151" s="372">
        <v>0</v>
      </c>
      <c r="C151" s="726">
        <v>0</v>
      </c>
      <c r="D151" s="734">
        <v>0</v>
      </c>
      <c r="E151" s="372">
        <v>0</v>
      </c>
      <c r="F151" s="726"/>
      <c r="G151" s="734"/>
    </row>
    <row r="152" spans="1:7" x14ac:dyDescent="0.3">
      <c r="A152" s="372" t="s">
        <v>390</v>
      </c>
      <c r="B152" s="372">
        <v>0</v>
      </c>
      <c r="C152" s="726">
        <v>0</v>
      </c>
      <c r="D152" s="734">
        <v>0</v>
      </c>
      <c r="E152" s="372">
        <v>0</v>
      </c>
      <c r="F152" s="726"/>
      <c r="G152" s="734"/>
    </row>
    <row r="153" spans="1:7" x14ac:dyDescent="0.3">
      <c r="A153" s="387" t="s">
        <v>12</v>
      </c>
      <c r="B153" s="375">
        <v>0</v>
      </c>
      <c r="C153" s="727">
        <v>0</v>
      </c>
      <c r="D153" s="735">
        <v>0</v>
      </c>
      <c r="E153" s="375">
        <v>0</v>
      </c>
      <c r="F153" s="727">
        <v>0</v>
      </c>
      <c r="G153" s="735">
        <v>0</v>
      </c>
    </row>
    <row r="154" spans="1:7" x14ac:dyDescent="0.3">
      <c r="A154" s="372" t="s">
        <v>391</v>
      </c>
      <c r="B154" s="372">
        <v>0</v>
      </c>
      <c r="C154" s="726">
        <v>0</v>
      </c>
      <c r="D154" s="734">
        <v>0</v>
      </c>
      <c r="E154" s="372">
        <v>0</v>
      </c>
      <c r="F154" s="726"/>
      <c r="G154" s="734"/>
    </row>
    <row r="155" spans="1:7" x14ac:dyDescent="0.3">
      <c r="A155" s="372" t="s">
        <v>392</v>
      </c>
      <c r="B155" s="372">
        <v>0</v>
      </c>
      <c r="C155" s="726">
        <v>0</v>
      </c>
      <c r="D155" s="734">
        <v>0</v>
      </c>
      <c r="E155" s="372">
        <v>0</v>
      </c>
      <c r="F155" s="726"/>
      <c r="G155" s="734"/>
    </row>
    <row r="156" spans="1:7" x14ac:dyDescent="0.3">
      <c r="A156" s="372" t="s">
        <v>393</v>
      </c>
      <c r="B156" s="372">
        <v>0</v>
      </c>
      <c r="C156" s="726">
        <v>0</v>
      </c>
      <c r="D156" s="734">
        <v>0</v>
      </c>
      <c r="E156" s="372">
        <v>0</v>
      </c>
      <c r="F156" s="726"/>
      <c r="G156" s="734"/>
    </row>
    <row r="157" spans="1:7" x14ac:dyDescent="0.3">
      <c r="A157" s="372" t="s">
        <v>394</v>
      </c>
      <c r="B157" s="372">
        <v>0</v>
      </c>
      <c r="C157" s="726">
        <v>0</v>
      </c>
      <c r="D157" s="734">
        <v>0</v>
      </c>
      <c r="E157" s="372">
        <v>0</v>
      </c>
      <c r="F157" s="726"/>
      <c r="G157" s="734"/>
    </row>
    <row r="158" spans="1:7" x14ac:dyDescent="0.3">
      <c r="A158" s="412"/>
      <c r="B158" s="377"/>
      <c r="C158" s="728"/>
      <c r="D158" s="736"/>
      <c r="E158" s="377"/>
      <c r="F158" s="728"/>
      <c r="G158" s="736"/>
    </row>
  </sheetData>
  <mergeCells count="17">
    <mergeCell ref="A34:A35"/>
    <mergeCell ref="B34:D34"/>
    <mergeCell ref="E34:G34"/>
    <mergeCell ref="A135:A136"/>
    <mergeCell ref="B135:D135"/>
    <mergeCell ref="E135:G135"/>
    <mergeCell ref="A68:A69"/>
    <mergeCell ref="B68:D68"/>
    <mergeCell ref="E68:G68"/>
    <mergeCell ref="A102:A103"/>
    <mergeCell ref="B102:D102"/>
    <mergeCell ref="E102:G102"/>
    <mergeCell ref="A3:A4"/>
    <mergeCell ref="B3:D3"/>
    <mergeCell ref="E3:G3"/>
    <mergeCell ref="I3:I4"/>
    <mergeCell ref="J3:L3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3" tint="0.59999389629810485"/>
  </sheetPr>
  <dimension ref="A1:T170"/>
  <sheetViews>
    <sheetView zoomScaleNormal="100" workbookViewId="0">
      <selection sqref="A1:XFD1048576"/>
    </sheetView>
  </sheetViews>
  <sheetFormatPr defaultColWidth="9.140625" defaultRowHeight="18.75" x14ac:dyDescent="0.3"/>
  <cols>
    <col min="1" max="1" width="23.5703125" style="339" customWidth="1"/>
    <col min="2" max="2" width="9" style="339" customWidth="1"/>
    <col min="3" max="3" width="11.28515625" style="339" customWidth="1"/>
    <col min="4" max="7" width="9" style="339" customWidth="1"/>
    <col min="8" max="8" width="9.140625" style="339"/>
    <col min="9" max="9" width="23.28515625" style="339" customWidth="1"/>
    <col min="10" max="10" width="9.7109375" style="339" customWidth="1"/>
    <col min="11" max="11" width="10.28515625" style="339" customWidth="1"/>
    <col min="12" max="12" width="9.28515625" style="339" customWidth="1"/>
    <col min="13" max="13" width="16.42578125" style="339" customWidth="1"/>
    <col min="14" max="14" width="10.42578125" style="339" customWidth="1"/>
    <col min="15" max="15" width="10" style="339" bestFit="1" customWidth="1"/>
    <col min="16" max="16" width="11" style="339" bestFit="1" customWidth="1"/>
    <col min="17" max="17" width="10.85546875" style="339" customWidth="1"/>
    <col min="18" max="16384" width="9.140625" style="339"/>
  </cols>
  <sheetData>
    <row r="1" spans="1:20" x14ac:dyDescent="0.3">
      <c r="A1" s="342" t="s">
        <v>818</v>
      </c>
      <c r="L1" s="382"/>
      <c r="N1" s="382" t="s">
        <v>284</v>
      </c>
      <c r="Q1" s="520"/>
      <c r="R1" s="520"/>
      <c r="S1" s="521"/>
      <c r="T1" s="522"/>
    </row>
    <row r="2" spans="1:20" x14ac:dyDescent="0.3">
      <c r="N2" s="379" t="s">
        <v>299</v>
      </c>
      <c r="Q2" s="520"/>
      <c r="R2" s="520"/>
      <c r="S2" s="523"/>
      <c r="T2" s="520"/>
    </row>
    <row r="3" spans="1:20" ht="24.95" customHeight="1" x14ac:dyDescent="0.3">
      <c r="A3" s="3516" t="s">
        <v>0</v>
      </c>
      <c r="B3" s="3520" t="s">
        <v>6</v>
      </c>
      <c r="C3" s="3520"/>
      <c r="D3" s="3520"/>
      <c r="E3" s="3520" t="s">
        <v>2</v>
      </c>
      <c r="F3" s="3520"/>
      <c r="G3" s="3520"/>
      <c r="I3" s="3516" t="s">
        <v>0</v>
      </c>
      <c r="J3" s="3518" t="s">
        <v>28</v>
      </c>
      <c r="K3" s="3518"/>
      <c r="L3" s="3518"/>
      <c r="N3" s="379" t="s">
        <v>333</v>
      </c>
      <c r="Q3" s="520"/>
      <c r="R3" s="520"/>
      <c r="S3" s="520"/>
      <c r="T3" s="520"/>
    </row>
    <row r="4" spans="1:20" ht="24.95" customHeight="1" x14ac:dyDescent="0.3">
      <c r="A4" s="3517"/>
      <c r="B4" s="380" t="s">
        <v>28</v>
      </c>
      <c r="C4" s="775" t="s">
        <v>34</v>
      </c>
      <c r="D4" s="731" t="s">
        <v>62</v>
      </c>
      <c r="E4" s="380" t="s">
        <v>28</v>
      </c>
      <c r="F4" s="775" t="s">
        <v>34</v>
      </c>
      <c r="G4" s="731" t="s">
        <v>62</v>
      </c>
      <c r="I4" s="3517"/>
      <c r="J4" s="380" t="s">
        <v>28</v>
      </c>
      <c r="K4" s="775" t="s">
        <v>34</v>
      </c>
      <c r="L4" s="731" t="s">
        <v>62</v>
      </c>
      <c r="M4" s="932">
        <v>0</v>
      </c>
      <c r="N4" s="379" t="s">
        <v>334</v>
      </c>
      <c r="Q4" s="520"/>
    </row>
    <row r="5" spans="1:20" ht="24.95" customHeight="1" thickBot="1" x14ac:dyDescent="0.35">
      <c r="A5" s="525" t="s">
        <v>28</v>
      </c>
      <c r="B5" s="367">
        <v>0</v>
      </c>
      <c r="C5" s="776">
        <v>0</v>
      </c>
      <c r="D5" s="732">
        <v>0</v>
      </c>
      <c r="E5" s="367">
        <v>0</v>
      </c>
      <c r="F5" s="776">
        <v>0</v>
      </c>
      <c r="G5" s="732">
        <v>0</v>
      </c>
      <c r="I5" s="525" t="s">
        <v>28</v>
      </c>
      <c r="J5" s="367">
        <v>0</v>
      </c>
      <c r="K5" s="776">
        <v>0</v>
      </c>
      <c r="L5" s="732">
        <v>0</v>
      </c>
      <c r="N5" s="524" t="s">
        <v>16</v>
      </c>
      <c r="Q5" s="520"/>
    </row>
    <row r="6" spans="1:20" s="342" customFormat="1" ht="24.95" customHeight="1" thickTop="1" x14ac:dyDescent="0.3">
      <c r="A6" s="369" t="s">
        <v>7</v>
      </c>
      <c r="B6" s="370">
        <v>0</v>
      </c>
      <c r="C6" s="777">
        <v>0</v>
      </c>
      <c r="D6" s="733">
        <v>0</v>
      </c>
      <c r="E6" s="370">
        <v>0</v>
      </c>
      <c r="F6" s="777">
        <v>0</v>
      </c>
      <c r="G6" s="733">
        <v>0</v>
      </c>
      <c r="I6" s="369" t="s">
        <v>7</v>
      </c>
      <c r="J6" s="370">
        <v>0</v>
      </c>
      <c r="K6" s="777">
        <v>0</v>
      </c>
      <c r="L6" s="733">
        <v>0</v>
      </c>
      <c r="N6" s="379" t="s">
        <v>331</v>
      </c>
      <c r="O6" s="339"/>
      <c r="P6" s="339"/>
      <c r="Q6" s="339"/>
    </row>
    <row r="7" spans="1:20" ht="24.95" customHeight="1" x14ac:dyDescent="0.3">
      <c r="A7" s="398" t="s">
        <v>8</v>
      </c>
      <c r="B7" s="372">
        <v>0</v>
      </c>
      <c r="C7" s="726">
        <v>0</v>
      </c>
      <c r="D7" s="734">
        <v>0</v>
      </c>
      <c r="E7" s="372">
        <v>0</v>
      </c>
      <c r="F7" s="778">
        <v>0</v>
      </c>
      <c r="G7" s="734">
        <v>0</v>
      </c>
      <c r="I7" s="398" t="s">
        <v>8</v>
      </c>
      <c r="J7" s="372">
        <v>0</v>
      </c>
      <c r="K7" s="778">
        <v>0</v>
      </c>
      <c r="L7" s="734">
        <v>0</v>
      </c>
      <c r="N7" s="379" t="s">
        <v>16</v>
      </c>
    </row>
    <row r="8" spans="1:20" ht="24.95" customHeight="1" x14ac:dyDescent="0.3">
      <c r="A8" s="398" t="s">
        <v>306</v>
      </c>
      <c r="B8" s="372">
        <v>0</v>
      </c>
      <c r="C8" s="726">
        <v>0</v>
      </c>
      <c r="D8" s="734">
        <v>0</v>
      </c>
      <c r="E8" s="372">
        <v>0</v>
      </c>
      <c r="F8" s="778">
        <v>0</v>
      </c>
      <c r="G8" s="734">
        <v>0</v>
      </c>
      <c r="I8" s="398" t="s">
        <v>306</v>
      </c>
      <c r="J8" s="372">
        <v>0</v>
      </c>
      <c r="K8" s="778">
        <v>0</v>
      </c>
      <c r="L8" s="734">
        <v>0</v>
      </c>
      <c r="N8" s="339" t="s">
        <v>337</v>
      </c>
      <c r="O8" s="342"/>
      <c r="Q8" s="342"/>
    </row>
    <row r="9" spans="1:20" ht="24.95" customHeight="1" x14ac:dyDescent="0.3">
      <c r="A9" s="372"/>
      <c r="B9" s="372"/>
      <c r="C9" s="778"/>
      <c r="D9" s="734"/>
      <c r="E9" s="372"/>
      <c r="F9" s="778"/>
      <c r="G9" s="734"/>
      <c r="I9" s="372"/>
      <c r="J9" s="372"/>
      <c r="K9" s="778"/>
      <c r="L9" s="734"/>
      <c r="N9" s="339" t="s">
        <v>34</v>
      </c>
    </row>
    <row r="10" spans="1:20" s="342" customFormat="1" ht="24.95" customHeight="1" x14ac:dyDescent="0.3">
      <c r="A10" s="526" t="s">
        <v>9</v>
      </c>
      <c r="B10" s="375">
        <v>0</v>
      </c>
      <c r="C10" s="779">
        <v>0</v>
      </c>
      <c r="D10" s="735">
        <v>0</v>
      </c>
      <c r="E10" s="375">
        <v>0</v>
      </c>
      <c r="F10" s="779">
        <v>0</v>
      </c>
      <c r="G10" s="735">
        <v>0</v>
      </c>
      <c r="I10" s="526" t="s">
        <v>9</v>
      </c>
      <c r="J10" s="375">
        <v>0</v>
      </c>
      <c r="K10" s="779">
        <v>0</v>
      </c>
      <c r="L10" s="735">
        <v>0</v>
      </c>
      <c r="N10" s="339" t="s">
        <v>16</v>
      </c>
      <c r="O10" s="339"/>
      <c r="P10" s="339"/>
    </row>
    <row r="11" spans="1:20" ht="24.95" customHeight="1" x14ac:dyDescent="0.3">
      <c r="A11" s="372" t="s">
        <v>308</v>
      </c>
      <c r="B11" s="372">
        <v>0</v>
      </c>
      <c r="C11" s="726">
        <v>0</v>
      </c>
      <c r="D11" s="734">
        <v>0</v>
      </c>
      <c r="E11" s="372">
        <v>0</v>
      </c>
      <c r="F11" s="778">
        <v>0</v>
      </c>
      <c r="G11" s="734">
        <v>0</v>
      </c>
      <c r="I11" s="372" t="s">
        <v>308</v>
      </c>
      <c r="J11" s="372">
        <v>0</v>
      </c>
      <c r="K11" s="778">
        <v>0</v>
      </c>
      <c r="L11" s="734">
        <v>0</v>
      </c>
    </row>
    <row r="12" spans="1:20" ht="24.95" customHeight="1" x14ac:dyDescent="0.3">
      <c r="A12" s="372" t="s">
        <v>309</v>
      </c>
      <c r="B12" s="372">
        <v>0</v>
      </c>
      <c r="C12" s="726">
        <v>0</v>
      </c>
      <c r="D12" s="734">
        <v>0</v>
      </c>
      <c r="E12" s="372">
        <v>0</v>
      </c>
      <c r="F12" s="778">
        <v>0</v>
      </c>
      <c r="G12" s="734">
        <v>0</v>
      </c>
      <c r="I12" s="372" t="s">
        <v>309</v>
      </c>
      <c r="J12" s="372">
        <v>0</v>
      </c>
      <c r="K12" s="778">
        <v>0</v>
      </c>
      <c r="L12" s="734">
        <v>0</v>
      </c>
      <c r="N12" s="379" t="s">
        <v>335</v>
      </c>
      <c r="O12" s="342"/>
      <c r="P12" s="342"/>
    </row>
    <row r="13" spans="1:20" ht="24.95" customHeight="1" x14ac:dyDescent="0.3">
      <c r="A13" s="372" t="s">
        <v>310</v>
      </c>
      <c r="B13" s="372">
        <v>0</v>
      </c>
      <c r="C13" s="726">
        <v>0</v>
      </c>
      <c r="D13" s="734">
        <v>0</v>
      </c>
      <c r="E13" s="372">
        <v>0</v>
      </c>
      <c r="F13" s="778">
        <v>0</v>
      </c>
      <c r="G13" s="734">
        <v>0</v>
      </c>
      <c r="I13" s="372" t="s">
        <v>310</v>
      </c>
      <c r="J13" s="372">
        <v>0</v>
      </c>
      <c r="K13" s="778">
        <v>0</v>
      </c>
      <c r="L13" s="734">
        <v>0</v>
      </c>
      <c r="N13" s="379" t="s">
        <v>336</v>
      </c>
    </row>
    <row r="14" spans="1:20" ht="24.95" customHeight="1" x14ac:dyDescent="0.3">
      <c r="A14" s="372" t="s">
        <v>311</v>
      </c>
      <c r="B14" s="372">
        <v>0</v>
      </c>
      <c r="C14" s="726">
        <v>0</v>
      </c>
      <c r="D14" s="734">
        <v>0</v>
      </c>
      <c r="E14" s="372">
        <v>0</v>
      </c>
      <c r="F14" s="778">
        <v>0</v>
      </c>
      <c r="G14" s="734">
        <v>0</v>
      </c>
      <c r="I14" s="372" t="s">
        <v>311</v>
      </c>
      <c r="J14" s="372">
        <v>0</v>
      </c>
      <c r="K14" s="778">
        <v>0</v>
      </c>
      <c r="L14" s="734">
        <v>0</v>
      </c>
      <c r="N14" s="339" t="s">
        <v>28</v>
      </c>
    </row>
    <row r="15" spans="1:20" ht="24.95" customHeight="1" x14ac:dyDescent="0.3">
      <c r="A15" s="372" t="s">
        <v>312</v>
      </c>
      <c r="B15" s="372">
        <v>0</v>
      </c>
      <c r="C15" s="726">
        <v>0</v>
      </c>
      <c r="D15" s="734">
        <v>0</v>
      </c>
      <c r="E15" s="372">
        <v>0</v>
      </c>
      <c r="F15" s="778">
        <v>0</v>
      </c>
      <c r="G15" s="734">
        <v>0</v>
      </c>
      <c r="I15" s="372" t="s">
        <v>312</v>
      </c>
      <c r="J15" s="372">
        <v>0</v>
      </c>
      <c r="K15" s="778">
        <v>0</v>
      </c>
      <c r="L15" s="734">
        <v>0</v>
      </c>
      <c r="N15" s="379" t="s">
        <v>334</v>
      </c>
    </row>
    <row r="16" spans="1:20" ht="24.95" customHeight="1" x14ac:dyDescent="0.3">
      <c r="A16" s="372" t="s">
        <v>313</v>
      </c>
      <c r="B16" s="372">
        <v>0</v>
      </c>
      <c r="C16" s="726">
        <v>0</v>
      </c>
      <c r="D16" s="734">
        <v>0</v>
      </c>
      <c r="E16" s="372">
        <v>0</v>
      </c>
      <c r="F16" s="778">
        <v>0</v>
      </c>
      <c r="G16" s="734">
        <v>0</v>
      </c>
      <c r="I16" s="372" t="s">
        <v>313</v>
      </c>
      <c r="J16" s="372">
        <v>0</v>
      </c>
      <c r="K16" s="778">
        <v>0</v>
      </c>
      <c r="L16" s="734">
        <v>0</v>
      </c>
      <c r="N16" s="339" t="s">
        <v>16</v>
      </c>
    </row>
    <row r="17" spans="1:12" ht="24.95" customHeight="1" x14ac:dyDescent="0.3">
      <c r="A17" s="372" t="s">
        <v>314</v>
      </c>
      <c r="B17" s="372">
        <v>0</v>
      </c>
      <c r="C17" s="726">
        <v>0</v>
      </c>
      <c r="D17" s="734">
        <v>0</v>
      </c>
      <c r="E17" s="372">
        <v>0</v>
      </c>
      <c r="F17" s="778">
        <v>0</v>
      </c>
      <c r="G17" s="734">
        <v>0</v>
      </c>
      <c r="I17" s="372" t="s">
        <v>314</v>
      </c>
      <c r="J17" s="372">
        <v>0</v>
      </c>
      <c r="K17" s="778">
        <v>0</v>
      </c>
      <c r="L17" s="734">
        <v>0</v>
      </c>
    </row>
    <row r="18" spans="1:12" ht="24.95" customHeight="1" x14ac:dyDescent="0.3">
      <c r="A18" s="372" t="s">
        <v>315</v>
      </c>
      <c r="B18" s="372">
        <v>0</v>
      </c>
      <c r="C18" s="726">
        <v>0</v>
      </c>
      <c r="D18" s="734">
        <v>0</v>
      </c>
      <c r="E18" s="372">
        <v>0</v>
      </c>
      <c r="F18" s="778">
        <v>0</v>
      </c>
      <c r="G18" s="734">
        <v>0</v>
      </c>
      <c r="I18" s="372" t="s">
        <v>315</v>
      </c>
      <c r="J18" s="372">
        <v>0</v>
      </c>
      <c r="K18" s="778">
        <v>0</v>
      </c>
      <c r="L18" s="734">
        <v>0</v>
      </c>
    </row>
    <row r="19" spans="1:12" ht="24.95" customHeight="1" x14ac:dyDescent="0.3">
      <c r="A19" s="372" t="s">
        <v>390</v>
      </c>
      <c r="B19" s="372">
        <v>0</v>
      </c>
      <c r="C19" s="726">
        <v>0</v>
      </c>
      <c r="D19" s="734">
        <v>0</v>
      </c>
      <c r="E19" s="372">
        <v>0</v>
      </c>
      <c r="F19" s="778">
        <v>0</v>
      </c>
      <c r="G19" s="734">
        <v>0</v>
      </c>
      <c r="I19" s="372" t="s">
        <v>390</v>
      </c>
      <c r="J19" s="372"/>
      <c r="K19" s="778">
        <v>0</v>
      </c>
      <c r="L19" s="734">
        <v>0</v>
      </c>
    </row>
    <row r="20" spans="1:12" s="342" customFormat="1" ht="24.95" customHeight="1" x14ac:dyDescent="0.3">
      <c r="A20" s="526" t="s">
        <v>12</v>
      </c>
      <c r="B20" s="375">
        <v>0</v>
      </c>
      <c r="C20" s="779">
        <v>0</v>
      </c>
      <c r="D20" s="735">
        <v>0</v>
      </c>
      <c r="E20" s="375">
        <v>0</v>
      </c>
      <c r="F20" s="779">
        <v>0</v>
      </c>
      <c r="G20" s="735">
        <v>0</v>
      </c>
      <c r="I20" s="526" t="s">
        <v>12</v>
      </c>
      <c r="J20" s="375">
        <v>0</v>
      </c>
      <c r="K20" s="779">
        <v>0</v>
      </c>
      <c r="L20" s="735">
        <v>0</v>
      </c>
    </row>
    <row r="21" spans="1:12" ht="24.95" customHeight="1" x14ac:dyDescent="0.3">
      <c r="A21" s="372" t="s">
        <v>391</v>
      </c>
      <c r="B21" s="372">
        <v>0</v>
      </c>
      <c r="C21" s="726">
        <v>0</v>
      </c>
      <c r="D21" s="734">
        <v>0</v>
      </c>
      <c r="E21" s="372">
        <v>0</v>
      </c>
      <c r="F21" s="778">
        <v>0</v>
      </c>
      <c r="G21" s="734">
        <v>0</v>
      </c>
      <c r="I21" s="372" t="s">
        <v>391</v>
      </c>
      <c r="J21" s="372">
        <v>0</v>
      </c>
      <c r="K21" s="778">
        <v>0</v>
      </c>
      <c r="L21" s="734">
        <v>0</v>
      </c>
    </row>
    <row r="22" spans="1:12" ht="24.95" customHeight="1" x14ac:dyDescent="0.3">
      <c r="A22" s="372" t="s">
        <v>392</v>
      </c>
      <c r="B22" s="372">
        <v>0</v>
      </c>
      <c r="C22" s="726">
        <v>0</v>
      </c>
      <c r="D22" s="734">
        <v>0</v>
      </c>
      <c r="E22" s="372">
        <v>0</v>
      </c>
      <c r="F22" s="778">
        <v>0</v>
      </c>
      <c r="G22" s="734">
        <v>0</v>
      </c>
      <c r="I22" s="372" t="s">
        <v>392</v>
      </c>
      <c r="J22" s="372">
        <v>0</v>
      </c>
      <c r="K22" s="778">
        <v>0</v>
      </c>
      <c r="L22" s="734">
        <v>0</v>
      </c>
    </row>
    <row r="23" spans="1:12" ht="24.95" customHeight="1" x14ac:dyDescent="0.3">
      <c r="A23" s="372" t="s">
        <v>393</v>
      </c>
      <c r="B23" s="372">
        <v>0</v>
      </c>
      <c r="C23" s="726">
        <v>0</v>
      </c>
      <c r="D23" s="734">
        <v>0</v>
      </c>
      <c r="E23" s="372">
        <v>0</v>
      </c>
      <c r="F23" s="778">
        <v>0</v>
      </c>
      <c r="G23" s="734">
        <v>0</v>
      </c>
      <c r="I23" s="372" t="s">
        <v>393</v>
      </c>
      <c r="J23" s="372">
        <v>0</v>
      </c>
      <c r="K23" s="778">
        <v>0</v>
      </c>
      <c r="L23" s="734">
        <v>0</v>
      </c>
    </row>
    <row r="24" spans="1:12" ht="24.95" customHeight="1" x14ac:dyDescent="0.3">
      <c r="A24" s="372" t="s">
        <v>394</v>
      </c>
      <c r="B24" s="372">
        <v>0</v>
      </c>
      <c r="C24" s="726">
        <v>0</v>
      </c>
      <c r="D24" s="734">
        <v>0</v>
      </c>
      <c r="E24" s="372">
        <v>0</v>
      </c>
      <c r="F24" s="778">
        <v>0</v>
      </c>
      <c r="G24" s="734">
        <v>0</v>
      </c>
      <c r="I24" s="372" t="s">
        <v>394</v>
      </c>
      <c r="J24" s="372">
        <v>0</v>
      </c>
      <c r="K24" s="778">
        <v>0</v>
      </c>
      <c r="L24" s="734">
        <v>0</v>
      </c>
    </row>
    <row r="25" spans="1:12" ht="24.95" customHeight="1" x14ac:dyDescent="0.3">
      <c r="A25" s="377"/>
      <c r="B25" s="377"/>
      <c r="C25" s="780"/>
      <c r="D25" s="736"/>
      <c r="E25" s="377"/>
      <c r="F25" s="780"/>
      <c r="G25" s="736"/>
      <c r="I25" s="377"/>
      <c r="J25" s="377"/>
      <c r="K25" s="780"/>
      <c r="L25" s="736"/>
    </row>
    <row r="37" spans="1:7" x14ac:dyDescent="0.3">
      <c r="A37" s="3516" t="s">
        <v>0</v>
      </c>
      <c r="B37" s="3520" t="s">
        <v>1</v>
      </c>
      <c r="C37" s="3520"/>
      <c r="D37" s="3520"/>
      <c r="E37" s="3520" t="s">
        <v>3</v>
      </c>
      <c r="F37" s="3520"/>
      <c r="G37" s="3520"/>
    </row>
    <row r="38" spans="1:7" x14ac:dyDescent="0.3">
      <c r="A38" s="3517"/>
      <c r="B38" s="380" t="s">
        <v>28</v>
      </c>
      <c r="C38" s="775" t="s">
        <v>34</v>
      </c>
      <c r="D38" s="731" t="s">
        <v>62</v>
      </c>
      <c r="E38" s="380" t="s">
        <v>28</v>
      </c>
      <c r="F38" s="775" t="s">
        <v>34</v>
      </c>
      <c r="G38" s="731" t="s">
        <v>62</v>
      </c>
    </row>
    <row r="39" spans="1:7" ht="19.5" thickBot="1" x14ac:dyDescent="0.35">
      <c r="A39" s="525" t="s">
        <v>28</v>
      </c>
      <c r="B39" s="367">
        <v>0</v>
      </c>
      <c r="C39" s="776">
        <v>0</v>
      </c>
      <c r="D39" s="737">
        <v>0</v>
      </c>
      <c r="E39" s="367">
        <v>0</v>
      </c>
      <c r="F39" s="776">
        <v>0</v>
      </c>
      <c r="G39" s="732">
        <v>0</v>
      </c>
    </row>
    <row r="40" spans="1:7" ht="19.5" thickTop="1" x14ac:dyDescent="0.3">
      <c r="A40" s="369" t="s">
        <v>7</v>
      </c>
      <c r="B40" s="370">
        <v>0</v>
      </c>
      <c r="C40" s="777">
        <v>0</v>
      </c>
      <c r="D40" s="733">
        <v>0</v>
      </c>
      <c r="E40" s="370">
        <v>0</v>
      </c>
      <c r="F40" s="777">
        <v>0</v>
      </c>
      <c r="G40" s="733">
        <v>0</v>
      </c>
    </row>
    <row r="41" spans="1:7" x14ac:dyDescent="0.3">
      <c r="A41" s="398" t="s">
        <v>8</v>
      </c>
      <c r="B41" s="372">
        <v>0</v>
      </c>
      <c r="C41" s="778">
        <v>0</v>
      </c>
      <c r="D41" s="734">
        <v>0</v>
      </c>
      <c r="E41" s="372">
        <v>0</v>
      </c>
      <c r="F41" s="778"/>
      <c r="G41" s="734"/>
    </row>
    <row r="42" spans="1:7" x14ac:dyDescent="0.3">
      <c r="A42" s="398" t="s">
        <v>306</v>
      </c>
      <c r="B42" s="372">
        <v>0</v>
      </c>
      <c r="C42" s="778">
        <v>0</v>
      </c>
      <c r="D42" s="734">
        <v>0</v>
      </c>
      <c r="E42" s="372">
        <v>0</v>
      </c>
      <c r="F42" s="778"/>
      <c r="G42" s="734"/>
    </row>
    <row r="43" spans="1:7" x14ac:dyDescent="0.3">
      <c r="A43" s="372"/>
      <c r="B43" s="372"/>
      <c r="C43" s="778"/>
      <c r="D43" s="734"/>
      <c r="E43" s="372"/>
      <c r="F43" s="778"/>
      <c r="G43" s="734"/>
    </row>
    <row r="44" spans="1:7" x14ac:dyDescent="0.3">
      <c r="A44" s="526" t="s">
        <v>9</v>
      </c>
      <c r="B44" s="375">
        <v>0</v>
      </c>
      <c r="C44" s="779">
        <v>0</v>
      </c>
      <c r="D44" s="735">
        <v>0</v>
      </c>
      <c r="E44" s="375">
        <v>0</v>
      </c>
      <c r="F44" s="779">
        <v>0</v>
      </c>
      <c r="G44" s="735">
        <v>0</v>
      </c>
    </row>
    <row r="45" spans="1:7" x14ac:dyDescent="0.3">
      <c r="A45" s="372" t="s">
        <v>308</v>
      </c>
      <c r="B45" s="372">
        <v>0</v>
      </c>
      <c r="C45" s="778">
        <v>0</v>
      </c>
      <c r="D45" s="734">
        <v>0</v>
      </c>
      <c r="E45" s="372">
        <v>0</v>
      </c>
      <c r="F45" s="778"/>
      <c r="G45" s="734"/>
    </row>
    <row r="46" spans="1:7" x14ac:dyDescent="0.3">
      <c r="A46" s="372" t="s">
        <v>309</v>
      </c>
      <c r="B46" s="372">
        <v>0</v>
      </c>
      <c r="C46" s="778">
        <v>0</v>
      </c>
      <c r="D46" s="734">
        <v>0</v>
      </c>
      <c r="E46" s="372">
        <v>0</v>
      </c>
      <c r="F46" s="778"/>
      <c r="G46" s="734"/>
    </row>
    <row r="47" spans="1:7" x14ac:dyDescent="0.3">
      <c r="A47" s="372" t="s">
        <v>310</v>
      </c>
      <c r="B47" s="372">
        <v>0</v>
      </c>
      <c r="C47" s="778">
        <v>0</v>
      </c>
      <c r="D47" s="734">
        <v>0</v>
      </c>
      <c r="E47" s="372">
        <v>0</v>
      </c>
      <c r="F47" s="778"/>
      <c r="G47" s="734"/>
    </row>
    <row r="48" spans="1:7" x14ac:dyDescent="0.3">
      <c r="A48" s="372" t="s">
        <v>311</v>
      </c>
      <c r="B48" s="372">
        <v>0</v>
      </c>
      <c r="C48" s="778">
        <v>0</v>
      </c>
      <c r="D48" s="734">
        <v>0</v>
      </c>
      <c r="E48" s="372">
        <v>0</v>
      </c>
      <c r="F48" s="778"/>
      <c r="G48" s="734"/>
    </row>
    <row r="49" spans="1:7" x14ac:dyDescent="0.3">
      <c r="A49" s="372" t="s">
        <v>312</v>
      </c>
      <c r="B49" s="372">
        <v>0</v>
      </c>
      <c r="C49" s="778">
        <v>0</v>
      </c>
      <c r="D49" s="734">
        <v>0</v>
      </c>
      <c r="E49" s="372">
        <v>0</v>
      </c>
      <c r="F49" s="778"/>
      <c r="G49" s="734"/>
    </row>
    <row r="50" spans="1:7" x14ac:dyDescent="0.3">
      <c r="A50" s="372" t="s">
        <v>313</v>
      </c>
      <c r="B50" s="372">
        <v>0</v>
      </c>
      <c r="C50" s="778">
        <v>0</v>
      </c>
      <c r="D50" s="734">
        <v>0</v>
      </c>
      <c r="E50" s="372">
        <v>0</v>
      </c>
      <c r="F50" s="778"/>
      <c r="G50" s="734"/>
    </row>
    <row r="51" spans="1:7" x14ac:dyDescent="0.3">
      <c r="A51" s="372" t="s">
        <v>314</v>
      </c>
      <c r="B51" s="372">
        <v>0</v>
      </c>
      <c r="C51" s="778">
        <v>0</v>
      </c>
      <c r="D51" s="734">
        <v>0</v>
      </c>
      <c r="E51" s="372">
        <v>0</v>
      </c>
      <c r="F51" s="778"/>
      <c r="G51" s="734"/>
    </row>
    <row r="52" spans="1:7" x14ac:dyDescent="0.3">
      <c r="A52" s="372" t="s">
        <v>315</v>
      </c>
      <c r="B52" s="372">
        <v>0</v>
      </c>
      <c r="C52" s="778">
        <v>0</v>
      </c>
      <c r="D52" s="734">
        <v>0</v>
      </c>
      <c r="E52" s="372">
        <v>0</v>
      </c>
      <c r="F52" s="778"/>
      <c r="G52" s="734"/>
    </row>
    <row r="53" spans="1:7" x14ac:dyDescent="0.3">
      <c r="A53" s="372" t="s">
        <v>390</v>
      </c>
      <c r="B53" s="372">
        <v>0</v>
      </c>
      <c r="C53" s="778">
        <v>0</v>
      </c>
      <c r="D53" s="734">
        <v>0</v>
      </c>
      <c r="E53" s="372"/>
      <c r="F53" s="778"/>
      <c r="G53" s="734"/>
    </row>
    <row r="54" spans="1:7" x14ac:dyDescent="0.3">
      <c r="A54" s="526" t="s">
        <v>12</v>
      </c>
      <c r="B54" s="375">
        <v>0</v>
      </c>
      <c r="C54" s="779">
        <v>0</v>
      </c>
      <c r="D54" s="735">
        <v>0</v>
      </c>
      <c r="E54" s="375">
        <v>0</v>
      </c>
      <c r="F54" s="779">
        <v>0</v>
      </c>
      <c r="G54" s="735">
        <v>0</v>
      </c>
    </row>
    <row r="55" spans="1:7" x14ac:dyDescent="0.3">
      <c r="A55" s="372" t="s">
        <v>391</v>
      </c>
      <c r="B55" s="372">
        <v>0</v>
      </c>
      <c r="C55" s="778">
        <v>0</v>
      </c>
      <c r="D55" s="734">
        <v>0</v>
      </c>
      <c r="E55" s="372">
        <v>0</v>
      </c>
      <c r="F55" s="778"/>
      <c r="G55" s="734"/>
    </row>
    <row r="56" spans="1:7" x14ac:dyDescent="0.3">
      <c r="A56" s="372" t="s">
        <v>392</v>
      </c>
      <c r="B56" s="372">
        <v>0</v>
      </c>
      <c r="C56" s="778">
        <v>0</v>
      </c>
      <c r="D56" s="734">
        <v>0</v>
      </c>
      <c r="E56" s="372">
        <v>0</v>
      </c>
      <c r="F56" s="778"/>
      <c r="G56" s="734"/>
    </row>
    <row r="57" spans="1:7" x14ac:dyDescent="0.3">
      <c r="A57" s="372" t="s">
        <v>393</v>
      </c>
      <c r="B57" s="372">
        <v>0</v>
      </c>
      <c r="C57" s="778">
        <v>0</v>
      </c>
      <c r="D57" s="734">
        <v>0</v>
      </c>
      <c r="E57" s="372">
        <v>0</v>
      </c>
      <c r="F57" s="778"/>
      <c r="G57" s="734"/>
    </row>
    <row r="58" spans="1:7" x14ac:dyDescent="0.3">
      <c r="A58" s="372" t="s">
        <v>394</v>
      </c>
      <c r="B58" s="372">
        <v>0</v>
      </c>
      <c r="C58" s="778">
        <v>0</v>
      </c>
      <c r="D58" s="734">
        <v>0</v>
      </c>
      <c r="E58" s="372">
        <v>0</v>
      </c>
      <c r="F58" s="778"/>
      <c r="G58" s="734"/>
    </row>
    <row r="59" spans="1:7" x14ac:dyDescent="0.3">
      <c r="A59" s="377"/>
      <c r="B59" s="377"/>
      <c r="C59" s="780"/>
      <c r="D59" s="736"/>
      <c r="E59" s="377"/>
      <c r="F59" s="780"/>
      <c r="G59" s="736"/>
    </row>
    <row r="74" spans="1:7" x14ac:dyDescent="0.3">
      <c r="A74" s="3516" t="s">
        <v>0</v>
      </c>
      <c r="B74" s="3520" t="s">
        <v>24</v>
      </c>
      <c r="C74" s="3520"/>
      <c r="D74" s="3520"/>
      <c r="E74" s="3520" t="s">
        <v>23</v>
      </c>
      <c r="F74" s="3520"/>
      <c r="G74" s="3520"/>
    </row>
    <row r="75" spans="1:7" x14ac:dyDescent="0.3">
      <c r="A75" s="3517"/>
      <c r="B75" s="380" t="s">
        <v>28</v>
      </c>
      <c r="C75" s="775" t="s">
        <v>34</v>
      </c>
      <c r="D75" s="731" t="s">
        <v>62</v>
      </c>
      <c r="E75" s="380" t="s">
        <v>28</v>
      </c>
      <c r="F75" s="775" t="s">
        <v>34</v>
      </c>
      <c r="G75" s="731" t="s">
        <v>62</v>
      </c>
    </row>
    <row r="76" spans="1:7" ht="19.5" thickBot="1" x14ac:dyDescent="0.35">
      <c r="A76" s="525" t="s">
        <v>28</v>
      </c>
      <c r="B76" s="367">
        <v>0</v>
      </c>
      <c r="C76" s="776">
        <v>0</v>
      </c>
      <c r="D76" s="732">
        <v>0</v>
      </c>
      <c r="E76" s="367">
        <v>0</v>
      </c>
      <c r="F76" s="776">
        <v>0</v>
      </c>
      <c r="G76" s="732">
        <v>0</v>
      </c>
    </row>
    <row r="77" spans="1:7" ht="19.5" thickTop="1" x14ac:dyDescent="0.3">
      <c r="A77" s="369" t="s">
        <v>7</v>
      </c>
      <c r="B77" s="370">
        <v>0</v>
      </c>
      <c r="C77" s="777">
        <v>0</v>
      </c>
      <c r="D77" s="733">
        <v>0</v>
      </c>
      <c r="E77" s="370">
        <v>0</v>
      </c>
      <c r="F77" s="777">
        <v>0</v>
      </c>
      <c r="G77" s="733">
        <v>0</v>
      </c>
    </row>
    <row r="78" spans="1:7" x14ac:dyDescent="0.3">
      <c r="A78" s="398" t="s">
        <v>8</v>
      </c>
      <c r="B78" s="372">
        <v>0</v>
      </c>
      <c r="C78" s="778"/>
      <c r="D78" s="734"/>
      <c r="E78" s="372">
        <v>0</v>
      </c>
      <c r="F78" s="778"/>
      <c r="G78" s="734"/>
    </row>
    <row r="79" spans="1:7" x14ac:dyDescent="0.3">
      <c r="A79" s="398" t="s">
        <v>306</v>
      </c>
      <c r="B79" s="372">
        <v>0</v>
      </c>
      <c r="C79" s="778"/>
      <c r="D79" s="734"/>
      <c r="E79" s="372">
        <v>0</v>
      </c>
      <c r="F79" s="778"/>
      <c r="G79" s="734"/>
    </row>
    <row r="80" spans="1:7" x14ac:dyDescent="0.3">
      <c r="A80" s="372"/>
      <c r="B80" s="372"/>
      <c r="C80" s="778"/>
      <c r="D80" s="734"/>
      <c r="E80" s="372"/>
      <c r="F80" s="778"/>
      <c r="G80" s="734"/>
    </row>
    <row r="81" spans="1:7" x14ac:dyDescent="0.3">
      <c r="A81" s="526" t="s">
        <v>9</v>
      </c>
      <c r="B81" s="375">
        <v>0</v>
      </c>
      <c r="C81" s="779">
        <v>0</v>
      </c>
      <c r="D81" s="735">
        <v>0</v>
      </c>
      <c r="E81" s="375">
        <v>0</v>
      </c>
      <c r="F81" s="779">
        <v>0</v>
      </c>
      <c r="G81" s="735">
        <v>0</v>
      </c>
    </row>
    <row r="82" spans="1:7" x14ac:dyDescent="0.3">
      <c r="A82" s="372" t="s">
        <v>308</v>
      </c>
      <c r="B82" s="372">
        <v>0</v>
      </c>
      <c r="C82" s="778"/>
      <c r="D82" s="734"/>
      <c r="E82" s="372">
        <v>0</v>
      </c>
      <c r="F82" s="778"/>
      <c r="G82" s="734"/>
    </row>
    <row r="83" spans="1:7" x14ac:dyDescent="0.3">
      <c r="A83" s="372" t="s">
        <v>309</v>
      </c>
      <c r="B83" s="372">
        <v>0</v>
      </c>
      <c r="C83" s="778"/>
      <c r="D83" s="734"/>
      <c r="E83" s="372">
        <v>0</v>
      </c>
      <c r="F83" s="778"/>
      <c r="G83" s="734"/>
    </row>
    <row r="84" spans="1:7" x14ac:dyDescent="0.3">
      <c r="A84" s="372" t="s">
        <v>310</v>
      </c>
      <c r="B84" s="372">
        <v>0</v>
      </c>
      <c r="C84" s="778"/>
      <c r="D84" s="734"/>
      <c r="E84" s="372">
        <v>0</v>
      </c>
      <c r="F84" s="778"/>
      <c r="G84" s="734"/>
    </row>
    <row r="85" spans="1:7" x14ac:dyDescent="0.3">
      <c r="A85" s="372" t="s">
        <v>311</v>
      </c>
      <c r="B85" s="372">
        <v>0</v>
      </c>
      <c r="C85" s="778"/>
      <c r="D85" s="734"/>
      <c r="E85" s="372">
        <v>0</v>
      </c>
      <c r="F85" s="778"/>
      <c r="G85" s="734"/>
    </row>
    <row r="86" spans="1:7" x14ac:dyDescent="0.3">
      <c r="A86" s="372" t="s">
        <v>312</v>
      </c>
      <c r="B86" s="372">
        <v>0</v>
      </c>
      <c r="C86" s="778"/>
      <c r="D86" s="734"/>
      <c r="E86" s="372">
        <v>0</v>
      </c>
      <c r="F86" s="778"/>
      <c r="G86" s="734"/>
    </row>
    <row r="87" spans="1:7" x14ac:dyDescent="0.3">
      <c r="A87" s="372" t="s">
        <v>313</v>
      </c>
      <c r="B87" s="372">
        <v>0</v>
      </c>
      <c r="C87" s="778"/>
      <c r="D87" s="734"/>
      <c r="E87" s="372">
        <v>0</v>
      </c>
      <c r="F87" s="778"/>
      <c r="G87" s="734"/>
    </row>
    <row r="88" spans="1:7" x14ac:dyDescent="0.3">
      <c r="A88" s="372" t="s">
        <v>314</v>
      </c>
      <c r="B88" s="372"/>
      <c r="C88" s="778"/>
      <c r="D88" s="734"/>
      <c r="E88" s="372"/>
      <c r="F88" s="778"/>
      <c r="G88" s="734"/>
    </row>
    <row r="89" spans="1:7" x14ac:dyDescent="0.3">
      <c r="A89" s="372" t="s">
        <v>315</v>
      </c>
      <c r="B89" s="372"/>
      <c r="C89" s="778"/>
      <c r="D89" s="734"/>
      <c r="E89" s="372"/>
      <c r="F89" s="778"/>
      <c r="G89" s="734"/>
    </row>
    <row r="90" spans="1:7" x14ac:dyDescent="0.3">
      <c r="A90" s="372"/>
      <c r="B90" s="372"/>
      <c r="C90" s="778"/>
      <c r="D90" s="734"/>
      <c r="E90" s="372"/>
      <c r="F90" s="778"/>
      <c r="G90" s="734"/>
    </row>
    <row r="91" spans="1:7" x14ac:dyDescent="0.3">
      <c r="A91" s="526" t="s">
        <v>12</v>
      </c>
      <c r="B91" s="375">
        <v>0</v>
      </c>
      <c r="C91" s="779">
        <v>0</v>
      </c>
      <c r="D91" s="735">
        <v>0</v>
      </c>
      <c r="E91" s="375">
        <v>0</v>
      </c>
      <c r="F91" s="779">
        <v>0</v>
      </c>
      <c r="G91" s="735">
        <v>0</v>
      </c>
    </row>
    <row r="92" spans="1:7" x14ac:dyDescent="0.3">
      <c r="A92" s="372" t="s">
        <v>316</v>
      </c>
      <c r="B92" s="372">
        <v>0</v>
      </c>
      <c r="C92" s="778"/>
      <c r="D92" s="734"/>
      <c r="E92" s="372">
        <v>0</v>
      </c>
      <c r="F92" s="778"/>
      <c r="G92" s="734"/>
    </row>
    <row r="93" spans="1:7" x14ac:dyDescent="0.3">
      <c r="A93" s="372" t="s">
        <v>317</v>
      </c>
      <c r="B93" s="372">
        <v>0</v>
      </c>
      <c r="C93" s="778"/>
      <c r="D93" s="734"/>
      <c r="E93" s="372">
        <v>0</v>
      </c>
      <c r="F93" s="778"/>
      <c r="G93" s="734"/>
    </row>
    <row r="94" spans="1:7" x14ac:dyDescent="0.3">
      <c r="A94" s="372" t="s">
        <v>318</v>
      </c>
      <c r="B94" s="372">
        <v>0</v>
      </c>
      <c r="C94" s="778"/>
      <c r="D94" s="734"/>
      <c r="E94" s="372">
        <v>0</v>
      </c>
      <c r="F94" s="778"/>
      <c r="G94" s="734"/>
    </row>
    <row r="95" spans="1:7" x14ac:dyDescent="0.3">
      <c r="A95" s="372" t="s">
        <v>319</v>
      </c>
      <c r="B95" s="372">
        <v>0</v>
      </c>
      <c r="C95" s="778"/>
      <c r="D95" s="734"/>
      <c r="E95" s="372">
        <v>0</v>
      </c>
      <c r="F95" s="778"/>
      <c r="G95" s="734"/>
    </row>
    <row r="96" spans="1:7" x14ac:dyDescent="0.3">
      <c r="A96" s="377"/>
      <c r="B96" s="377"/>
      <c r="C96" s="780"/>
      <c r="D96" s="736"/>
      <c r="E96" s="377"/>
      <c r="F96" s="780"/>
      <c r="G96" s="736"/>
    </row>
    <row r="111" spans="1:7" x14ac:dyDescent="0.3">
      <c r="A111" s="3516" t="s">
        <v>0</v>
      </c>
      <c r="B111" s="3520" t="s">
        <v>4</v>
      </c>
      <c r="C111" s="3520"/>
      <c r="D111" s="3520"/>
      <c r="E111" s="3520" t="s">
        <v>20</v>
      </c>
      <c r="F111" s="3520"/>
      <c r="G111" s="3520"/>
    </row>
    <row r="112" spans="1:7" x14ac:dyDescent="0.3">
      <c r="A112" s="3517"/>
      <c r="B112" s="380" t="s">
        <v>28</v>
      </c>
      <c r="C112" s="775" t="s">
        <v>34</v>
      </c>
      <c r="D112" s="731" t="s">
        <v>62</v>
      </c>
      <c r="E112" s="380" t="s">
        <v>28</v>
      </c>
      <c r="F112" s="775" t="s">
        <v>34</v>
      </c>
      <c r="G112" s="731" t="s">
        <v>62</v>
      </c>
    </row>
    <row r="113" spans="1:7" ht="19.5" thickBot="1" x14ac:dyDescent="0.35">
      <c r="A113" s="525" t="s">
        <v>28</v>
      </c>
      <c r="B113" s="367">
        <v>0</v>
      </c>
      <c r="C113" s="776">
        <v>0</v>
      </c>
      <c r="D113" s="732">
        <v>0</v>
      </c>
      <c r="E113" s="367">
        <v>0</v>
      </c>
      <c r="F113" s="776">
        <v>0</v>
      </c>
      <c r="G113" s="732">
        <v>0</v>
      </c>
    </row>
    <row r="114" spans="1:7" ht="19.5" thickTop="1" x14ac:dyDescent="0.3">
      <c r="A114" s="369" t="s">
        <v>7</v>
      </c>
      <c r="B114" s="370">
        <v>0</v>
      </c>
      <c r="C114" s="777">
        <v>0</v>
      </c>
      <c r="D114" s="733">
        <v>0</v>
      </c>
      <c r="E114" s="370">
        <v>0</v>
      </c>
      <c r="F114" s="777">
        <v>0</v>
      </c>
      <c r="G114" s="733">
        <v>0</v>
      </c>
    </row>
    <row r="115" spans="1:7" x14ac:dyDescent="0.3">
      <c r="A115" s="398" t="s">
        <v>8</v>
      </c>
      <c r="B115" s="372">
        <v>0</v>
      </c>
      <c r="C115" s="778">
        <v>0</v>
      </c>
      <c r="D115" s="734">
        <v>0</v>
      </c>
      <c r="E115" s="372">
        <v>0</v>
      </c>
      <c r="F115" s="778"/>
      <c r="G115" s="734"/>
    </row>
    <row r="116" spans="1:7" x14ac:dyDescent="0.3">
      <c r="A116" s="398" t="s">
        <v>306</v>
      </c>
      <c r="B116" s="372">
        <v>0</v>
      </c>
      <c r="C116" s="778">
        <v>0</v>
      </c>
      <c r="D116" s="734">
        <v>0</v>
      </c>
      <c r="E116" s="372">
        <v>0</v>
      </c>
      <c r="F116" s="778"/>
      <c r="G116" s="734"/>
    </row>
    <row r="117" spans="1:7" x14ac:dyDescent="0.3">
      <c r="A117" s="372"/>
      <c r="B117" s="372"/>
      <c r="C117" s="778"/>
      <c r="D117" s="734"/>
      <c r="E117" s="372"/>
      <c r="F117" s="778"/>
      <c r="G117" s="734"/>
    </row>
    <row r="118" spans="1:7" x14ac:dyDescent="0.3">
      <c r="A118" s="526" t="s">
        <v>9</v>
      </c>
      <c r="B118" s="375">
        <v>0</v>
      </c>
      <c r="C118" s="779">
        <v>0</v>
      </c>
      <c r="D118" s="735">
        <v>0</v>
      </c>
      <c r="E118" s="375">
        <v>0</v>
      </c>
      <c r="F118" s="779">
        <v>0</v>
      </c>
      <c r="G118" s="735">
        <v>0</v>
      </c>
    </row>
    <row r="119" spans="1:7" x14ac:dyDescent="0.3">
      <c r="A119" s="372" t="s">
        <v>308</v>
      </c>
      <c r="B119" s="372">
        <v>0</v>
      </c>
      <c r="C119" s="778">
        <v>0</v>
      </c>
      <c r="D119" s="734">
        <v>0</v>
      </c>
      <c r="E119" s="372">
        <v>0</v>
      </c>
      <c r="F119" s="778"/>
      <c r="G119" s="734"/>
    </row>
    <row r="120" spans="1:7" x14ac:dyDescent="0.3">
      <c r="A120" s="372" t="s">
        <v>309</v>
      </c>
      <c r="B120" s="372">
        <v>0</v>
      </c>
      <c r="C120" s="778">
        <v>0</v>
      </c>
      <c r="D120" s="734">
        <v>0</v>
      </c>
      <c r="E120" s="372">
        <v>0</v>
      </c>
      <c r="F120" s="778"/>
      <c r="G120" s="734"/>
    </row>
    <row r="121" spans="1:7" x14ac:dyDescent="0.3">
      <c r="A121" s="372" t="s">
        <v>310</v>
      </c>
      <c r="B121" s="372">
        <v>0</v>
      </c>
      <c r="C121" s="778">
        <v>0</v>
      </c>
      <c r="D121" s="734">
        <v>0</v>
      </c>
      <c r="E121" s="372">
        <v>0</v>
      </c>
      <c r="F121" s="778"/>
      <c r="G121" s="734"/>
    </row>
    <row r="122" spans="1:7" x14ac:dyDescent="0.3">
      <c r="A122" s="372" t="s">
        <v>311</v>
      </c>
      <c r="B122" s="372">
        <v>0</v>
      </c>
      <c r="C122" s="778">
        <v>0</v>
      </c>
      <c r="D122" s="734">
        <v>0</v>
      </c>
      <c r="E122" s="372">
        <v>0</v>
      </c>
      <c r="F122" s="778"/>
      <c r="G122" s="734"/>
    </row>
    <row r="123" spans="1:7" x14ac:dyDescent="0.3">
      <c r="A123" s="372" t="s">
        <v>312</v>
      </c>
      <c r="B123" s="372">
        <v>0</v>
      </c>
      <c r="C123" s="778">
        <v>0</v>
      </c>
      <c r="D123" s="734">
        <v>0</v>
      </c>
      <c r="E123" s="372">
        <v>0</v>
      </c>
      <c r="F123" s="778"/>
      <c r="G123" s="734"/>
    </row>
    <row r="124" spans="1:7" x14ac:dyDescent="0.3">
      <c r="A124" s="372" t="s">
        <v>313</v>
      </c>
      <c r="B124" s="372">
        <v>0</v>
      </c>
      <c r="C124" s="778">
        <v>0</v>
      </c>
      <c r="D124" s="734">
        <v>0</v>
      </c>
      <c r="E124" s="372">
        <v>0</v>
      </c>
      <c r="F124" s="778"/>
      <c r="G124" s="734"/>
    </row>
    <row r="125" spans="1:7" x14ac:dyDescent="0.3">
      <c r="A125" s="372" t="s">
        <v>314</v>
      </c>
      <c r="B125" s="372">
        <v>0</v>
      </c>
      <c r="C125" s="778">
        <v>0</v>
      </c>
      <c r="D125" s="734">
        <v>0</v>
      </c>
      <c r="E125" s="372">
        <v>0</v>
      </c>
      <c r="F125" s="778"/>
      <c r="G125" s="734"/>
    </row>
    <row r="126" spans="1:7" x14ac:dyDescent="0.3">
      <c r="A126" s="372" t="s">
        <v>315</v>
      </c>
      <c r="B126" s="372">
        <v>0</v>
      </c>
      <c r="C126" s="778">
        <v>0</v>
      </c>
      <c r="D126" s="734">
        <v>0</v>
      </c>
      <c r="E126" s="372">
        <v>0</v>
      </c>
      <c r="F126" s="778"/>
      <c r="G126" s="734"/>
    </row>
    <row r="127" spans="1:7" x14ac:dyDescent="0.3">
      <c r="A127" s="372" t="s">
        <v>390</v>
      </c>
      <c r="B127" s="372">
        <v>0</v>
      </c>
      <c r="C127" s="778">
        <v>0</v>
      </c>
      <c r="D127" s="734">
        <v>0</v>
      </c>
      <c r="E127" s="372"/>
      <c r="F127" s="778"/>
      <c r="G127" s="734"/>
    </row>
    <row r="128" spans="1:7" x14ac:dyDescent="0.3">
      <c r="A128" s="526" t="s">
        <v>12</v>
      </c>
      <c r="B128" s="375">
        <v>0</v>
      </c>
      <c r="C128" s="779">
        <v>0</v>
      </c>
      <c r="D128" s="735">
        <v>0</v>
      </c>
      <c r="E128" s="375">
        <v>0</v>
      </c>
      <c r="F128" s="779">
        <v>0</v>
      </c>
      <c r="G128" s="735">
        <v>0</v>
      </c>
    </row>
    <row r="129" spans="1:7" x14ac:dyDescent="0.3">
      <c r="A129" s="372" t="s">
        <v>391</v>
      </c>
      <c r="B129" s="372">
        <v>0</v>
      </c>
      <c r="C129" s="778">
        <v>0</v>
      </c>
      <c r="D129" s="734">
        <v>0</v>
      </c>
      <c r="E129" s="372">
        <v>0</v>
      </c>
      <c r="F129" s="778"/>
      <c r="G129" s="734"/>
    </row>
    <row r="130" spans="1:7" x14ac:dyDescent="0.3">
      <c r="A130" s="372" t="s">
        <v>392</v>
      </c>
      <c r="B130" s="372">
        <v>0</v>
      </c>
      <c r="C130" s="778">
        <v>0</v>
      </c>
      <c r="D130" s="734">
        <v>0</v>
      </c>
      <c r="E130" s="372">
        <v>0</v>
      </c>
      <c r="F130" s="778"/>
      <c r="G130" s="734"/>
    </row>
    <row r="131" spans="1:7" x14ac:dyDescent="0.3">
      <c r="A131" s="372" t="s">
        <v>393</v>
      </c>
      <c r="B131" s="372">
        <v>0</v>
      </c>
      <c r="C131" s="778">
        <v>0</v>
      </c>
      <c r="D131" s="734">
        <v>0</v>
      </c>
      <c r="E131" s="372">
        <v>0</v>
      </c>
      <c r="F131" s="778"/>
      <c r="G131" s="734"/>
    </row>
    <row r="132" spans="1:7" x14ac:dyDescent="0.3">
      <c r="A132" s="372" t="s">
        <v>394</v>
      </c>
      <c r="B132" s="372">
        <v>0</v>
      </c>
      <c r="C132" s="778">
        <v>0</v>
      </c>
      <c r="D132" s="734">
        <v>0</v>
      </c>
      <c r="E132" s="372">
        <v>0</v>
      </c>
      <c r="F132" s="778"/>
      <c r="G132" s="734"/>
    </row>
    <row r="133" spans="1:7" x14ac:dyDescent="0.3">
      <c r="A133" s="377"/>
      <c r="B133" s="377"/>
      <c r="C133" s="780"/>
      <c r="D133" s="736"/>
      <c r="E133" s="377"/>
      <c r="F133" s="780"/>
      <c r="G133" s="736"/>
    </row>
    <row r="148" spans="1:7" x14ac:dyDescent="0.3">
      <c r="A148" s="3516" t="s">
        <v>0</v>
      </c>
      <c r="B148" s="3520" t="s">
        <v>5</v>
      </c>
      <c r="C148" s="3520"/>
      <c r="D148" s="3520"/>
      <c r="E148" s="3520" t="s">
        <v>21</v>
      </c>
      <c r="F148" s="3520"/>
      <c r="G148" s="3520"/>
    </row>
    <row r="149" spans="1:7" x14ac:dyDescent="0.3">
      <c r="A149" s="3517"/>
      <c r="B149" s="380" t="s">
        <v>28</v>
      </c>
      <c r="C149" s="775" t="s">
        <v>34</v>
      </c>
      <c r="D149" s="731" t="s">
        <v>62</v>
      </c>
      <c r="E149" s="380" t="s">
        <v>28</v>
      </c>
      <c r="F149" s="775" t="s">
        <v>34</v>
      </c>
      <c r="G149" s="731" t="s">
        <v>62</v>
      </c>
    </row>
    <row r="150" spans="1:7" ht="19.5" thickBot="1" x14ac:dyDescent="0.35">
      <c r="A150" s="525" t="s">
        <v>28</v>
      </c>
      <c r="B150" s="367">
        <v>0</v>
      </c>
      <c r="C150" s="776">
        <v>0</v>
      </c>
      <c r="D150" s="732">
        <v>0</v>
      </c>
      <c r="E150" s="367">
        <v>0</v>
      </c>
      <c r="F150" s="776">
        <v>0</v>
      </c>
      <c r="G150" s="732">
        <v>0</v>
      </c>
    </row>
    <row r="151" spans="1:7" ht="19.5" thickTop="1" x14ac:dyDescent="0.3">
      <c r="A151" s="369" t="s">
        <v>7</v>
      </c>
      <c r="B151" s="370">
        <v>0</v>
      </c>
      <c r="C151" s="777">
        <v>0</v>
      </c>
      <c r="D151" s="733">
        <v>0</v>
      </c>
      <c r="E151" s="370">
        <v>0</v>
      </c>
      <c r="F151" s="777">
        <v>0</v>
      </c>
      <c r="G151" s="733">
        <v>0</v>
      </c>
    </row>
    <row r="152" spans="1:7" x14ac:dyDescent="0.3">
      <c r="A152" s="398" t="s">
        <v>8</v>
      </c>
      <c r="B152" s="372">
        <v>0</v>
      </c>
      <c r="C152" s="778"/>
      <c r="D152" s="734"/>
      <c r="E152" s="372">
        <v>0</v>
      </c>
      <c r="F152" s="778">
        <v>0</v>
      </c>
      <c r="G152" s="734">
        <v>0</v>
      </c>
    </row>
    <row r="153" spans="1:7" x14ac:dyDescent="0.3">
      <c r="A153" s="398" t="s">
        <v>306</v>
      </c>
      <c r="B153" s="372">
        <v>0</v>
      </c>
      <c r="C153" s="778"/>
      <c r="D153" s="734"/>
      <c r="E153" s="372">
        <v>0</v>
      </c>
      <c r="F153" s="778">
        <v>0</v>
      </c>
      <c r="G153" s="734">
        <v>0</v>
      </c>
    </row>
    <row r="154" spans="1:7" x14ac:dyDescent="0.3">
      <c r="A154" s="372"/>
      <c r="B154" s="372"/>
      <c r="C154" s="778"/>
      <c r="D154" s="734"/>
      <c r="E154" s="372"/>
      <c r="F154" s="778"/>
      <c r="G154" s="734"/>
    </row>
    <row r="155" spans="1:7" x14ac:dyDescent="0.3">
      <c r="A155" s="526" t="s">
        <v>9</v>
      </c>
      <c r="B155" s="375">
        <v>0</v>
      </c>
      <c r="C155" s="779">
        <v>0</v>
      </c>
      <c r="D155" s="735">
        <v>0</v>
      </c>
      <c r="E155" s="375">
        <v>0</v>
      </c>
      <c r="F155" s="779">
        <v>0</v>
      </c>
      <c r="G155" s="735">
        <v>0</v>
      </c>
    </row>
    <row r="156" spans="1:7" x14ac:dyDescent="0.3">
      <c r="A156" s="372" t="s">
        <v>308</v>
      </c>
      <c r="B156" s="372">
        <v>0</v>
      </c>
      <c r="C156" s="778"/>
      <c r="D156" s="734"/>
      <c r="E156" s="372">
        <v>0</v>
      </c>
      <c r="F156" s="778">
        <v>0</v>
      </c>
      <c r="G156" s="734">
        <v>0</v>
      </c>
    </row>
    <row r="157" spans="1:7" x14ac:dyDescent="0.3">
      <c r="A157" s="372" t="s">
        <v>309</v>
      </c>
      <c r="B157" s="372">
        <v>0</v>
      </c>
      <c r="C157" s="778"/>
      <c r="D157" s="734"/>
      <c r="E157" s="372">
        <v>0</v>
      </c>
      <c r="F157" s="778">
        <v>0</v>
      </c>
      <c r="G157" s="734">
        <v>0</v>
      </c>
    </row>
    <row r="158" spans="1:7" x14ac:dyDescent="0.3">
      <c r="A158" s="372" t="s">
        <v>310</v>
      </c>
      <c r="B158" s="372">
        <v>0</v>
      </c>
      <c r="C158" s="778"/>
      <c r="D158" s="734"/>
      <c r="E158" s="372">
        <v>0</v>
      </c>
      <c r="F158" s="778">
        <v>0</v>
      </c>
      <c r="G158" s="734">
        <v>0</v>
      </c>
    </row>
    <row r="159" spans="1:7" x14ac:dyDescent="0.3">
      <c r="A159" s="372" t="s">
        <v>311</v>
      </c>
      <c r="B159" s="372">
        <v>0</v>
      </c>
      <c r="C159" s="778"/>
      <c r="D159" s="734"/>
      <c r="E159" s="372">
        <v>0</v>
      </c>
      <c r="F159" s="778">
        <v>0</v>
      </c>
      <c r="G159" s="734">
        <v>0</v>
      </c>
    </row>
    <row r="160" spans="1:7" x14ac:dyDescent="0.3">
      <c r="A160" s="372" t="s">
        <v>312</v>
      </c>
      <c r="B160" s="372">
        <v>0</v>
      </c>
      <c r="C160" s="778"/>
      <c r="D160" s="734"/>
      <c r="E160" s="372">
        <v>0</v>
      </c>
      <c r="F160" s="778">
        <v>0</v>
      </c>
      <c r="G160" s="734">
        <v>0</v>
      </c>
    </row>
    <row r="161" spans="1:7" x14ac:dyDescent="0.3">
      <c r="A161" s="372" t="s">
        <v>313</v>
      </c>
      <c r="B161" s="372">
        <v>0</v>
      </c>
      <c r="C161" s="778"/>
      <c r="D161" s="734"/>
      <c r="E161" s="372">
        <v>0</v>
      </c>
      <c r="F161" s="778">
        <v>0</v>
      </c>
      <c r="G161" s="734">
        <v>0</v>
      </c>
    </row>
    <row r="162" spans="1:7" x14ac:dyDescent="0.3">
      <c r="A162" s="372" t="s">
        <v>314</v>
      </c>
      <c r="B162" s="372"/>
      <c r="C162" s="778"/>
      <c r="D162" s="734"/>
      <c r="E162" s="372">
        <v>0</v>
      </c>
      <c r="F162" s="778">
        <v>0</v>
      </c>
      <c r="G162" s="734">
        <v>0</v>
      </c>
    </row>
    <row r="163" spans="1:7" x14ac:dyDescent="0.3">
      <c r="A163" s="372" t="s">
        <v>315</v>
      </c>
      <c r="B163" s="372"/>
      <c r="C163" s="778"/>
      <c r="D163" s="734"/>
      <c r="E163" s="372">
        <v>0</v>
      </c>
      <c r="F163" s="778">
        <v>0</v>
      </c>
      <c r="G163" s="734">
        <v>0</v>
      </c>
    </row>
    <row r="164" spans="1:7" x14ac:dyDescent="0.3">
      <c r="A164" s="372"/>
      <c r="B164" s="372"/>
      <c r="C164" s="778"/>
      <c r="D164" s="734"/>
      <c r="E164" s="372"/>
      <c r="F164" s="778"/>
      <c r="G164" s="734"/>
    </row>
    <row r="165" spans="1:7" x14ac:dyDescent="0.3">
      <c r="A165" s="526" t="s">
        <v>12</v>
      </c>
      <c r="B165" s="375">
        <v>0</v>
      </c>
      <c r="C165" s="779">
        <v>0</v>
      </c>
      <c r="D165" s="735">
        <v>0</v>
      </c>
      <c r="E165" s="375">
        <v>0</v>
      </c>
      <c r="F165" s="779">
        <v>0</v>
      </c>
      <c r="G165" s="735">
        <v>0</v>
      </c>
    </row>
    <row r="166" spans="1:7" x14ac:dyDescent="0.3">
      <c r="A166" s="372" t="s">
        <v>316</v>
      </c>
      <c r="B166" s="372">
        <v>0</v>
      </c>
      <c r="C166" s="778"/>
      <c r="D166" s="734"/>
      <c r="E166" s="372">
        <v>0</v>
      </c>
      <c r="F166" s="778">
        <v>0</v>
      </c>
      <c r="G166" s="734">
        <v>0</v>
      </c>
    </row>
    <row r="167" spans="1:7" x14ac:dyDescent="0.3">
      <c r="A167" s="372" t="s">
        <v>317</v>
      </c>
      <c r="B167" s="372">
        <v>0</v>
      </c>
      <c r="C167" s="778"/>
      <c r="D167" s="734"/>
      <c r="E167" s="372">
        <v>0</v>
      </c>
      <c r="F167" s="778">
        <v>0</v>
      </c>
      <c r="G167" s="734">
        <v>0</v>
      </c>
    </row>
    <row r="168" spans="1:7" x14ac:dyDescent="0.3">
      <c r="A168" s="372" t="s">
        <v>318</v>
      </c>
      <c r="B168" s="372">
        <v>0</v>
      </c>
      <c r="C168" s="778"/>
      <c r="D168" s="734"/>
      <c r="E168" s="372">
        <v>0</v>
      </c>
      <c r="F168" s="778">
        <v>0</v>
      </c>
      <c r="G168" s="734">
        <v>0</v>
      </c>
    </row>
    <row r="169" spans="1:7" x14ac:dyDescent="0.3">
      <c r="A169" s="372" t="s">
        <v>319</v>
      </c>
      <c r="B169" s="372">
        <v>0</v>
      </c>
      <c r="C169" s="778"/>
      <c r="D169" s="734"/>
      <c r="E169" s="372">
        <v>0</v>
      </c>
      <c r="F169" s="778">
        <v>0</v>
      </c>
      <c r="G169" s="734">
        <v>0</v>
      </c>
    </row>
    <row r="170" spans="1:7" x14ac:dyDescent="0.3">
      <c r="A170" s="377"/>
      <c r="B170" s="377"/>
      <c r="C170" s="780"/>
      <c r="D170" s="736"/>
      <c r="E170" s="377"/>
      <c r="F170" s="780"/>
      <c r="G170" s="736"/>
    </row>
  </sheetData>
  <mergeCells count="17">
    <mergeCell ref="A37:A38"/>
    <mergeCell ref="B37:D37"/>
    <mergeCell ref="E37:G37"/>
    <mergeCell ref="A148:A149"/>
    <mergeCell ref="B148:D148"/>
    <mergeCell ref="E148:G148"/>
    <mergeCell ref="A74:A75"/>
    <mergeCell ref="B74:D74"/>
    <mergeCell ref="E74:G74"/>
    <mergeCell ref="A111:A112"/>
    <mergeCell ref="B111:D111"/>
    <mergeCell ref="E111:G111"/>
    <mergeCell ref="A3:A4"/>
    <mergeCell ref="B3:D3"/>
    <mergeCell ref="E3:G3"/>
    <mergeCell ref="I3:I4"/>
    <mergeCell ref="J3:L3"/>
  </mergeCells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66CC"/>
  </sheetPr>
  <dimension ref="A1:T170"/>
  <sheetViews>
    <sheetView zoomScaleNormal="100" workbookViewId="0">
      <selection sqref="A1:XFD1048576"/>
    </sheetView>
  </sheetViews>
  <sheetFormatPr defaultColWidth="9.140625" defaultRowHeight="18.75" x14ac:dyDescent="0.3"/>
  <cols>
    <col min="1" max="1" width="25.7109375" style="339" customWidth="1"/>
    <col min="2" max="2" width="9" style="339" customWidth="1"/>
    <col min="3" max="3" width="11.28515625" style="339" customWidth="1"/>
    <col min="4" max="7" width="9" style="339" customWidth="1"/>
    <col min="8" max="8" width="9.140625" style="339"/>
    <col min="9" max="9" width="23.28515625" style="339" customWidth="1"/>
    <col min="10" max="10" width="9.7109375" style="339" customWidth="1"/>
    <col min="11" max="11" width="10.28515625" style="339" customWidth="1"/>
    <col min="12" max="12" width="9.28515625" style="339" customWidth="1"/>
    <col min="13" max="13" width="16.42578125" style="339" customWidth="1"/>
    <col min="14" max="14" width="10.42578125" style="339" customWidth="1"/>
    <col min="15" max="15" width="10" style="339" bestFit="1" customWidth="1"/>
    <col min="16" max="16" width="11" style="339" bestFit="1" customWidth="1"/>
    <col min="17" max="17" width="10.85546875" style="339" customWidth="1"/>
    <col min="18" max="16384" width="9.140625" style="339"/>
  </cols>
  <sheetData>
    <row r="1" spans="1:20" x14ac:dyDescent="0.3">
      <c r="A1" s="342" t="s">
        <v>807</v>
      </c>
      <c r="L1" s="382"/>
      <c r="N1" s="382"/>
      <c r="Q1" s="520"/>
      <c r="R1" s="520"/>
      <c r="S1" s="521"/>
      <c r="T1" s="522"/>
    </row>
    <row r="2" spans="1:20" x14ac:dyDescent="0.3">
      <c r="N2" s="379"/>
      <c r="Q2" s="520"/>
      <c r="R2" s="520"/>
      <c r="S2" s="523"/>
      <c r="T2" s="520"/>
    </row>
    <row r="3" spans="1:20" ht="24.95" customHeight="1" x14ac:dyDescent="0.3">
      <c r="A3" s="3516" t="s">
        <v>0</v>
      </c>
      <c r="B3" s="3515" t="s">
        <v>6</v>
      </c>
      <c r="C3" s="3515"/>
      <c r="D3" s="3515"/>
      <c r="E3" s="3515" t="s">
        <v>2</v>
      </c>
      <c r="F3" s="3515"/>
      <c r="G3" s="3515"/>
      <c r="I3" s="3516" t="s">
        <v>0</v>
      </c>
      <c r="J3" s="3518" t="s">
        <v>28</v>
      </c>
      <c r="K3" s="3518"/>
      <c r="L3" s="3518"/>
      <c r="N3" s="379"/>
      <c r="Q3" s="520"/>
      <c r="R3" s="520"/>
      <c r="S3" s="520"/>
      <c r="T3" s="520"/>
    </row>
    <row r="4" spans="1:20" ht="24.95" customHeight="1" x14ac:dyDescent="0.3">
      <c r="A4" s="3517"/>
      <c r="B4" s="380" t="s">
        <v>28</v>
      </c>
      <c r="C4" s="775" t="s">
        <v>34</v>
      </c>
      <c r="D4" s="731" t="s">
        <v>62</v>
      </c>
      <c r="E4" s="380" t="s">
        <v>28</v>
      </c>
      <c r="F4" s="775" t="s">
        <v>34</v>
      </c>
      <c r="G4" s="731" t="s">
        <v>62</v>
      </c>
      <c r="I4" s="3517"/>
      <c r="J4" s="380" t="s">
        <v>28</v>
      </c>
      <c r="K4" s="775" t="s">
        <v>34</v>
      </c>
      <c r="L4" s="731" t="s">
        <v>62</v>
      </c>
      <c r="N4" s="379"/>
      <c r="Q4" s="520"/>
    </row>
    <row r="5" spans="1:20" ht="24.95" customHeight="1" thickBot="1" x14ac:dyDescent="0.35">
      <c r="A5" s="525" t="s">
        <v>28</v>
      </c>
      <c r="B5" s="367">
        <v>234000</v>
      </c>
      <c r="C5" s="776">
        <v>156000</v>
      </c>
      <c r="D5" s="732">
        <v>78000</v>
      </c>
      <c r="E5" s="367">
        <v>0</v>
      </c>
      <c r="F5" s="776">
        <v>0</v>
      </c>
      <c r="G5" s="732">
        <v>0</v>
      </c>
      <c r="I5" s="525" t="s">
        <v>28</v>
      </c>
      <c r="J5" s="367">
        <v>234000</v>
      </c>
      <c r="K5" s="776">
        <v>156000</v>
      </c>
      <c r="L5" s="732">
        <v>78000</v>
      </c>
      <c r="N5" s="524"/>
      <c r="Q5" s="520"/>
    </row>
    <row r="6" spans="1:20" s="342" customFormat="1" ht="24.95" customHeight="1" thickTop="1" x14ac:dyDescent="0.3">
      <c r="A6" s="369" t="s">
        <v>7</v>
      </c>
      <c r="B6" s="370">
        <v>0</v>
      </c>
      <c r="C6" s="777">
        <v>0</v>
      </c>
      <c r="D6" s="733">
        <v>0</v>
      </c>
      <c r="E6" s="370">
        <v>0</v>
      </c>
      <c r="F6" s="777">
        <v>0</v>
      </c>
      <c r="G6" s="733">
        <v>0</v>
      </c>
      <c r="I6" s="369" t="s">
        <v>7</v>
      </c>
      <c r="J6" s="370">
        <v>0</v>
      </c>
      <c r="K6" s="777">
        <v>0</v>
      </c>
      <c r="L6" s="733">
        <v>0</v>
      </c>
      <c r="N6" s="379"/>
      <c r="O6" s="339"/>
      <c r="P6" s="339"/>
      <c r="Q6" s="339"/>
    </row>
    <row r="7" spans="1:20" ht="24.95" customHeight="1" x14ac:dyDescent="0.3">
      <c r="A7" s="398" t="s">
        <v>8</v>
      </c>
      <c r="B7" s="372">
        <v>0</v>
      </c>
      <c r="C7" s="778">
        <v>0</v>
      </c>
      <c r="D7" s="734">
        <v>0</v>
      </c>
      <c r="E7" s="372">
        <v>0</v>
      </c>
      <c r="F7" s="778">
        <v>0</v>
      </c>
      <c r="G7" s="734">
        <v>0</v>
      </c>
      <c r="I7" s="398" t="s">
        <v>8</v>
      </c>
      <c r="J7" s="372">
        <v>0</v>
      </c>
      <c r="K7" s="778">
        <v>0</v>
      </c>
      <c r="L7" s="734">
        <v>0</v>
      </c>
      <c r="N7" s="379"/>
    </row>
    <row r="8" spans="1:20" ht="24.95" customHeight="1" x14ac:dyDescent="0.3">
      <c r="A8" s="398" t="s">
        <v>306</v>
      </c>
      <c r="B8" s="372">
        <v>0</v>
      </c>
      <c r="C8" s="778">
        <v>0</v>
      </c>
      <c r="D8" s="734">
        <v>0</v>
      </c>
      <c r="E8" s="372">
        <v>0</v>
      </c>
      <c r="F8" s="778">
        <v>0</v>
      </c>
      <c r="G8" s="734">
        <v>0</v>
      </c>
      <c r="I8" s="398" t="s">
        <v>306</v>
      </c>
      <c r="J8" s="372">
        <v>0</v>
      </c>
      <c r="K8" s="778">
        <v>0</v>
      </c>
      <c r="L8" s="734">
        <v>0</v>
      </c>
      <c r="O8" s="342"/>
      <c r="Q8" s="342"/>
    </row>
    <row r="9" spans="1:20" ht="24.95" customHeight="1" x14ac:dyDescent="0.3">
      <c r="A9" s="372"/>
      <c r="B9" s="372"/>
      <c r="C9" s="778"/>
      <c r="D9" s="734"/>
      <c r="E9" s="372"/>
      <c r="F9" s="778"/>
      <c r="G9" s="734"/>
      <c r="I9" s="372"/>
      <c r="J9" s="372"/>
      <c r="K9" s="778"/>
      <c r="L9" s="734"/>
    </row>
    <row r="10" spans="1:20" s="342" customFormat="1" ht="24.95" customHeight="1" x14ac:dyDescent="0.3">
      <c r="A10" s="526" t="s">
        <v>9</v>
      </c>
      <c r="B10" s="375">
        <v>234000</v>
      </c>
      <c r="C10" s="779">
        <v>156000</v>
      </c>
      <c r="D10" s="735">
        <v>78000</v>
      </c>
      <c r="E10" s="375">
        <v>0</v>
      </c>
      <c r="F10" s="779">
        <v>0</v>
      </c>
      <c r="G10" s="735">
        <v>0</v>
      </c>
      <c r="I10" s="526" t="s">
        <v>9</v>
      </c>
      <c r="J10" s="375">
        <v>234000</v>
      </c>
      <c r="K10" s="779">
        <v>156000</v>
      </c>
      <c r="L10" s="735">
        <v>78000</v>
      </c>
      <c r="N10" s="339"/>
      <c r="O10" s="339"/>
      <c r="P10" s="339"/>
    </row>
    <row r="11" spans="1:20" ht="24.95" customHeight="1" x14ac:dyDescent="0.3">
      <c r="A11" s="372" t="s">
        <v>308</v>
      </c>
      <c r="B11" s="372">
        <v>0</v>
      </c>
      <c r="C11" s="778">
        <v>0</v>
      </c>
      <c r="D11" s="734">
        <v>0</v>
      </c>
      <c r="E11" s="372">
        <v>0</v>
      </c>
      <c r="F11" s="778">
        <v>0</v>
      </c>
      <c r="G11" s="734">
        <v>0</v>
      </c>
      <c r="I11" s="372" t="s">
        <v>308</v>
      </c>
      <c r="J11" s="372">
        <v>0</v>
      </c>
      <c r="K11" s="778">
        <v>0</v>
      </c>
      <c r="L11" s="734">
        <v>0</v>
      </c>
    </row>
    <row r="12" spans="1:20" ht="24.95" customHeight="1" x14ac:dyDescent="0.3">
      <c r="A12" s="372" t="s">
        <v>309</v>
      </c>
      <c r="B12" s="372">
        <v>0</v>
      </c>
      <c r="C12" s="778">
        <v>0</v>
      </c>
      <c r="D12" s="734">
        <v>0</v>
      </c>
      <c r="E12" s="372">
        <v>0</v>
      </c>
      <c r="F12" s="778">
        <v>0</v>
      </c>
      <c r="G12" s="734">
        <v>0</v>
      </c>
      <c r="I12" s="372" t="s">
        <v>309</v>
      </c>
      <c r="J12" s="372">
        <v>0</v>
      </c>
      <c r="K12" s="778">
        <v>0</v>
      </c>
      <c r="L12" s="734">
        <v>0</v>
      </c>
      <c r="N12" s="379"/>
      <c r="O12" s="342"/>
      <c r="P12" s="342"/>
    </row>
    <row r="13" spans="1:20" ht="24.95" customHeight="1" x14ac:dyDescent="0.3">
      <c r="A13" s="372" t="s">
        <v>310</v>
      </c>
      <c r="B13" s="372">
        <v>0</v>
      </c>
      <c r="C13" s="778">
        <v>0</v>
      </c>
      <c r="D13" s="734">
        <v>0</v>
      </c>
      <c r="E13" s="372">
        <v>0</v>
      </c>
      <c r="F13" s="778">
        <v>0</v>
      </c>
      <c r="G13" s="734">
        <v>0</v>
      </c>
      <c r="I13" s="372" t="s">
        <v>310</v>
      </c>
      <c r="J13" s="372">
        <v>0</v>
      </c>
      <c r="K13" s="778">
        <v>0</v>
      </c>
      <c r="L13" s="734">
        <v>0</v>
      </c>
      <c r="N13" s="379"/>
    </row>
    <row r="14" spans="1:20" ht="24.95" customHeight="1" x14ac:dyDescent="0.3">
      <c r="A14" s="372" t="s">
        <v>311</v>
      </c>
      <c r="B14" s="372">
        <v>0</v>
      </c>
      <c r="C14" s="778">
        <v>0</v>
      </c>
      <c r="D14" s="734">
        <v>0</v>
      </c>
      <c r="E14" s="372">
        <v>0</v>
      </c>
      <c r="F14" s="778">
        <v>0</v>
      </c>
      <c r="G14" s="734">
        <v>0</v>
      </c>
      <c r="I14" s="372" t="s">
        <v>311</v>
      </c>
      <c r="J14" s="372">
        <v>0</v>
      </c>
      <c r="K14" s="778">
        <v>0</v>
      </c>
      <c r="L14" s="734">
        <v>0</v>
      </c>
    </row>
    <row r="15" spans="1:20" ht="24.95" customHeight="1" x14ac:dyDescent="0.3">
      <c r="A15" s="372" t="s">
        <v>312</v>
      </c>
      <c r="B15" s="372">
        <v>234000</v>
      </c>
      <c r="C15" s="778">
        <v>156000</v>
      </c>
      <c r="D15" s="734">
        <v>78000</v>
      </c>
      <c r="E15" s="372">
        <v>0</v>
      </c>
      <c r="F15" s="778">
        <v>0</v>
      </c>
      <c r="G15" s="734">
        <v>0</v>
      </c>
      <c r="I15" s="372" t="s">
        <v>312</v>
      </c>
      <c r="J15" s="372">
        <v>234000</v>
      </c>
      <c r="K15" s="778">
        <v>156000</v>
      </c>
      <c r="L15" s="734">
        <v>78000</v>
      </c>
      <c r="N15" s="379"/>
    </row>
    <row r="16" spans="1:20" ht="24.95" customHeight="1" x14ac:dyDescent="0.3">
      <c r="A16" s="372" t="s">
        <v>313</v>
      </c>
      <c r="B16" s="372">
        <v>0</v>
      </c>
      <c r="C16" s="778">
        <v>0</v>
      </c>
      <c r="D16" s="734">
        <v>0</v>
      </c>
      <c r="E16" s="372">
        <v>0</v>
      </c>
      <c r="F16" s="778">
        <v>0</v>
      </c>
      <c r="G16" s="734">
        <v>0</v>
      </c>
      <c r="I16" s="372" t="s">
        <v>313</v>
      </c>
      <c r="J16" s="372">
        <v>0</v>
      </c>
      <c r="K16" s="778">
        <v>0</v>
      </c>
      <c r="L16" s="734">
        <v>0</v>
      </c>
    </row>
    <row r="17" spans="1:12" ht="24.95" customHeight="1" x14ac:dyDescent="0.3">
      <c r="A17" s="372" t="s">
        <v>314</v>
      </c>
      <c r="B17" s="372">
        <v>0</v>
      </c>
      <c r="C17" s="778">
        <v>0</v>
      </c>
      <c r="D17" s="734">
        <v>0</v>
      </c>
      <c r="E17" s="372">
        <v>0</v>
      </c>
      <c r="F17" s="778">
        <v>0</v>
      </c>
      <c r="G17" s="734">
        <v>0</v>
      </c>
      <c r="I17" s="372" t="s">
        <v>314</v>
      </c>
      <c r="J17" s="372">
        <v>0</v>
      </c>
      <c r="K17" s="778">
        <v>0</v>
      </c>
      <c r="L17" s="734">
        <v>0</v>
      </c>
    </row>
    <row r="18" spans="1:12" ht="24.95" customHeight="1" x14ac:dyDescent="0.3">
      <c r="A18" s="372" t="s">
        <v>315</v>
      </c>
      <c r="B18" s="372">
        <v>0</v>
      </c>
      <c r="C18" s="778">
        <v>0</v>
      </c>
      <c r="D18" s="734">
        <v>0</v>
      </c>
      <c r="E18" s="372">
        <v>0</v>
      </c>
      <c r="F18" s="778">
        <v>0</v>
      </c>
      <c r="G18" s="734">
        <v>0</v>
      </c>
      <c r="I18" s="372" t="s">
        <v>315</v>
      </c>
      <c r="J18" s="372">
        <v>0</v>
      </c>
      <c r="K18" s="778">
        <v>0</v>
      </c>
      <c r="L18" s="734">
        <v>0</v>
      </c>
    </row>
    <row r="19" spans="1:12" ht="24.95" customHeight="1" x14ac:dyDescent="0.3">
      <c r="A19" s="372" t="s">
        <v>390</v>
      </c>
      <c r="B19" s="372">
        <v>0</v>
      </c>
      <c r="C19" s="778">
        <v>0</v>
      </c>
      <c r="D19" s="734">
        <v>0</v>
      </c>
      <c r="E19" s="372">
        <v>0</v>
      </c>
      <c r="F19" s="778">
        <v>0</v>
      </c>
      <c r="G19" s="734">
        <v>0</v>
      </c>
      <c r="I19" s="372" t="s">
        <v>390</v>
      </c>
      <c r="J19" s="372">
        <v>0</v>
      </c>
      <c r="K19" s="778">
        <v>0</v>
      </c>
      <c r="L19" s="734">
        <v>0</v>
      </c>
    </row>
    <row r="20" spans="1:12" s="342" customFormat="1" ht="24.95" customHeight="1" x14ac:dyDescent="0.3">
      <c r="A20" s="526" t="s">
        <v>12</v>
      </c>
      <c r="B20" s="375">
        <v>0</v>
      </c>
      <c r="C20" s="779">
        <v>0</v>
      </c>
      <c r="D20" s="735">
        <v>0</v>
      </c>
      <c r="E20" s="375">
        <v>0</v>
      </c>
      <c r="F20" s="779">
        <v>0</v>
      </c>
      <c r="G20" s="735">
        <v>0</v>
      </c>
      <c r="I20" s="526" t="s">
        <v>12</v>
      </c>
      <c r="J20" s="375">
        <v>0</v>
      </c>
      <c r="K20" s="779">
        <v>0</v>
      </c>
      <c r="L20" s="735">
        <v>0</v>
      </c>
    </row>
    <row r="21" spans="1:12" ht="24.95" customHeight="1" x14ac:dyDescent="0.3">
      <c r="A21" s="372" t="s">
        <v>391</v>
      </c>
      <c r="B21" s="372">
        <v>0</v>
      </c>
      <c r="C21" s="778">
        <v>0</v>
      </c>
      <c r="D21" s="734">
        <v>0</v>
      </c>
      <c r="E21" s="372">
        <v>0</v>
      </c>
      <c r="F21" s="778">
        <v>0</v>
      </c>
      <c r="G21" s="734">
        <v>0</v>
      </c>
      <c r="I21" s="372" t="s">
        <v>391</v>
      </c>
      <c r="J21" s="372">
        <v>0</v>
      </c>
      <c r="K21" s="778">
        <v>0</v>
      </c>
      <c r="L21" s="734">
        <v>0</v>
      </c>
    </row>
    <row r="22" spans="1:12" ht="24.95" customHeight="1" x14ac:dyDescent="0.3">
      <c r="A22" s="372" t="s">
        <v>392</v>
      </c>
      <c r="B22" s="372">
        <v>0</v>
      </c>
      <c r="C22" s="778">
        <v>0</v>
      </c>
      <c r="D22" s="734">
        <v>0</v>
      </c>
      <c r="E22" s="372">
        <v>0</v>
      </c>
      <c r="F22" s="778">
        <v>0</v>
      </c>
      <c r="G22" s="734">
        <v>0</v>
      </c>
      <c r="I22" s="372" t="s">
        <v>392</v>
      </c>
      <c r="J22" s="372">
        <v>0</v>
      </c>
      <c r="K22" s="778">
        <v>0</v>
      </c>
      <c r="L22" s="734">
        <v>0</v>
      </c>
    </row>
    <row r="23" spans="1:12" ht="24.95" customHeight="1" x14ac:dyDescent="0.3">
      <c r="A23" s="372" t="s">
        <v>393</v>
      </c>
      <c r="B23" s="372">
        <v>0</v>
      </c>
      <c r="C23" s="778">
        <v>0</v>
      </c>
      <c r="D23" s="734">
        <v>0</v>
      </c>
      <c r="E23" s="372">
        <v>0</v>
      </c>
      <c r="F23" s="778">
        <v>0</v>
      </c>
      <c r="G23" s="734">
        <v>0</v>
      </c>
      <c r="I23" s="372" t="s">
        <v>393</v>
      </c>
      <c r="J23" s="372">
        <v>0</v>
      </c>
      <c r="K23" s="778">
        <v>0</v>
      </c>
      <c r="L23" s="734">
        <v>0</v>
      </c>
    </row>
    <row r="24" spans="1:12" ht="24.95" customHeight="1" x14ac:dyDescent="0.3">
      <c r="A24" s="372" t="s">
        <v>394</v>
      </c>
      <c r="B24" s="372">
        <v>0</v>
      </c>
      <c r="C24" s="778">
        <v>0</v>
      </c>
      <c r="D24" s="734">
        <v>0</v>
      </c>
      <c r="E24" s="372">
        <v>0</v>
      </c>
      <c r="F24" s="778">
        <v>0</v>
      </c>
      <c r="G24" s="734">
        <v>0</v>
      </c>
      <c r="I24" s="372" t="s">
        <v>394</v>
      </c>
      <c r="J24" s="372">
        <v>0</v>
      </c>
      <c r="K24" s="778">
        <v>0</v>
      </c>
      <c r="L24" s="734">
        <v>0</v>
      </c>
    </row>
    <row r="25" spans="1:12" ht="24.95" customHeight="1" x14ac:dyDescent="0.3">
      <c r="A25" s="377"/>
      <c r="B25" s="377"/>
      <c r="C25" s="780"/>
      <c r="D25" s="736"/>
      <c r="E25" s="377"/>
      <c r="F25" s="780"/>
      <c r="G25" s="736"/>
      <c r="I25" s="377"/>
      <c r="J25" s="377"/>
      <c r="K25" s="780"/>
      <c r="L25" s="736"/>
    </row>
    <row r="37" spans="1:7" x14ac:dyDescent="0.3">
      <c r="A37" s="3516" t="s">
        <v>0</v>
      </c>
      <c r="B37" s="3515" t="s">
        <v>1</v>
      </c>
      <c r="C37" s="3515"/>
      <c r="D37" s="3515"/>
      <c r="E37" s="3515" t="s">
        <v>3</v>
      </c>
      <c r="F37" s="3515"/>
      <c r="G37" s="3515"/>
    </row>
    <row r="38" spans="1:7" x14ac:dyDescent="0.3">
      <c r="A38" s="3517"/>
      <c r="B38" s="380" t="s">
        <v>28</v>
      </c>
      <c r="C38" s="775" t="s">
        <v>34</v>
      </c>
      <c r="D38" s="731" t="s">
        <v>62</v>
      </c>
      <c r="E38" s="380" t="s">
        <v>28</v>
      </c>
      <c r="F38" s="775" t="s">
        <v>34</v>
      </c>
      <c r="G38" s="731" t="s">
        <v>62</v>
      </c>
    </row>
    <row r="39" spans="1:7" ht="19.5" thickBot="1" x14ac:dyDescent="0.35">
      <c r="A39" s="525" t="s">
        <v>28</v>
      </c>
      <c r="B39" s="367">
        <v>0</v>
      </c>
      <c r="C39" s="776">
        <v>0</v>
      </c>
      <c r="D39" s="737">
        <v>0</v>
      </c>
      <c r="E39" s="367">
        <v>0</v>
      </c>
      <c r="F39" s="776">
        <v>0</v>
      </c>
      <c r="G39" s="732">
        <v>0</v>
      </c>
    </row>
    <row r="40" spans="1:7" ht="19.5" thickTop="1" x14ac:dyDescent="0.3">
      <c r="A40" s="369" t="s">
        <v>7</v>
      </c>
      <c r="B40" s="370">
        <v>0</v>
      </c>
      <c r="C40" s="777">
        <v>0</v>
      </c>
      <c r="D40" s="733">
        <v>0</v>
      </c>
      <c r="E40" s="370">
        <v>0</v>
      </c>
      <c r="F40" s="777">
        <v>0</v>
      </c>
      <c r="G40" s="733">
        <v>0</v>
      </c>
    </row>
    <row r="41" spans="1:7" x14ac:dyDescent="0.3">
      <c r="A41" s="398" t="s">
        <v>8</v>
      </c>
      <c r="B41" s="372">
        <v>0</v>
      </c>
      <c r="C41" s="778">
        <v>0</v>
      </c>
      <c r="D41" s="734">
        <v>0</v>
      </c>
      <c r="E41" s="372">
        <v>0</v>
      </c>
      <c r="F41" s="778">
        <v>0</v>
      </c>
      <c r="G41" s="734">
        <v>0</v>
      </c>
    </row>
    <row r="42" spans="1:7" x14ac:dyDescent="0.3">
      <c r="A42" s="398" t="s">
        <v>306</v>
      </c>
      <c r="B42" s="372">
        <v>0</v>
      </c>
      <c r="C42" s="778">
        <v>0</v>
      </c>
      <c r="D42" s="734">
        <v>0</v>
      </c>
      <c r="E42" s="372">
        <v>0</v>
      </c>
      <c r="F42" s="778">
        <v>0</v>
      </c>
      <c r="G42" s="734">
        <v>0</v>
      </c>
    </row>
    <row r="43" spans="1:7" x14ac:dyDescent="0.3">
      <c r="A43" s="372"/>
      <c r="B43" s="372"/>
      <c r="C43" s="778"/>
      <c r="D43" s="734"/>
      <c r="E43" s="372"/>
      <c r="F43" s="778"/>
      <c r="G43" s="734"/>
    </row>
    <row r="44" spans="1:7" x14ac:dyDescent="0.3">
      <c r="A44" s="526" t="s">
        <v>9</v>
      </c>
      <c r="B44" s="375">
        <v>0</v>
      </c>
      <c r="C44" s="779">
        <v>0</v>
      </c>
      <c r="D44" s="735">
        <v>0</v>
      </c>
      <c r="E44" s="375">
        <v>0</v>
      </c>
      <c r="F44" s="779">
        <v>0</v>
      </c>
      <c r="G44" s="735">
        <v>0</v>
      </c>
    </row>
    <row r="45" spans="1:7" x14ac:dyDescent="0.3">
      <c r="A45" s="372" t="s">
        <v>308</v>
      </c>
      <c r="B45" s="372">
        <v>0</v>
      </c>
      <c r="C45" s="778">
        <v>0</v>
      </c>
      <c r="D45" s="734">
        <v>0</v>
      </c>
      <c r="E45" s="372">
        <v>0</v>
      </c>
      <c r="F45" s="778">
        <v>0</v>
      </c>
      <c r="G45" s="734">
        <v>0</v>
      </c>
    </row>
    <row r="46" spans="1:7" x14ac:dyDescent="0.3">
      <c r="A46" s="372" t="s">
        <v>309</v>
      </c>
      <c r="B46" s="372">
        <v>0</v>
      </c>
      <c r="C46" s="778">
        <v>0</v>
      </c>
      <c r="D46" s="734">
        <v>0</v>
      </c>
      <c r="E46" s="372">
        <v>0</v>
      </c>
      <c r="F46" s="778">
        <v>0</v>
      </c>
      <c r="G46" s="734">
        <v>0</v>
      </c>
    </row>
    <row r="47" spans="1:7" x14ac:dyDescent="0.3">
      <c r="A47" s="372" t="s">
        <v>310</v>
      </c>
      <c r="B47" s="372">
        <v>0</v>
      </c>
      <c r="C47" s="778">
        <v>0</v>
      </c>
      <c r="D47" s="734">
        <v>0</v>
      </c>
      <c r="E47" s="372">
        <v>0</v>
      </c>
      <c r="F47" s="778">
        <v>0</v>
      </c>
      <c r="G47" s="734">
        <v>0</v>
      </c>
    </row>
    <row r="48" spans="1:7" x14ac:dyDescent="0.3">
      <c r="A48" s="372" t="s">
        <v>311</v>
      </c>
      <c r="B48" s="372">
        <v>0</v>
      </c>
      <c r="C48" s="778">
        <v>0</v>
      </c>
      <c r="D48" s="734">
        <v>0</v>
      </c>
      <c r="E48" s="372">
        <v>0</v>
      </c>
      <c r="F48" s="778">
        <v>0</v>
      </c>
      <c r="G48" s="734">
        <v>0</v>
      </c>
    </row>
    <row r="49" spans="1:7" x14ac:dyDescent="0.3">
      <c r="A49" s="372" t="s">
        <v>312</v>
      </c>
      <c r="B49" s="372">
        <v>0</v>
      </c>
      <c r="C49" s="778">
        <v>0</v>
      </c>
      <c r="D49" s="734">
        <v>0</v>
      </c>
      <c r="E49" s="372">
        <v>0</v>
      </c>
      <c r="F49" s="778">
        <v>0</v>
      </c>
      <c r="G49" s="734">
        <v>0</v>
      </c>
    </row>
    <row r="50" spans="1:7" x14ac:dyDescent="0.3">
      <c r="A50" s="372" t="s">
        <v>313</v>
      </c>
      <c r="B50" s="372">
        <v>0</v>
      </c>
      <c r="C50" s="778">
        <v>0</v>
      </c>
      <c r="D50" s="734">
        <v>0</v>
      </c>
      <c r="E50" s="372">
        <v>0</v>
      </c>
      <c r="F50" s="2224">
        <v>0</v>
      </c>
      <c r="G50" s="734">
        <v>0</v>
      </c>
    </row>
    <row r="51" spans="1:7" x14ac:dyDescent="0.3">
      <c r="A51" s="372" t="s">
        <v>314</v>
      </c>
      <c r="B51" s="372">
        <v>0</v>
      </c>
      <c r="C51" s="778">
        <v>0</v>
      </c>
      <c r="D51" s="734">
        <v>0</v>
      </c>
      <c r="E51" s="372">
        <v>0</v>
      </c>
      <c r="F51" s="2224">
        <v>0</v>
      </c>
      <c r="G51" s="734">
        <v>0</v>
      </c>
    </row>
    <row r="52" spans="1:7" x14ac:dyDescent="0.3">
      <c r="A52" s="372" t="s">
        <v>315</v>
      </c>
      <c r="B52" s="372">
        <v>0</v>
      </c>
      <c r="C52" s="778">
        <v>0</v>
      </c>
      <c r="D52" s="734">
        <v>0</v>
      </c>
      <c r="E52" s="372">
        <v>0</v>
      </c>
      <c r="F52" s="2224">
        <v>0</v>
      </c>
      <c r="G52" s="734">
        <v>0</v>
      </c>
    </row>
    <row r="53" spans="1:7" x14ac:dyDescent="0.3">
      <c r="A53" s="372" t="s">
        <v>390</v>
      </c>
      <c r="B53" s="372">
        <v>0</v>
      </c>
      <c r="C53" s="778">
        <v>0</v>
      </c>
      <c r="D53" s="734">
        <v>0</v>
      </c>
      <c r="E53" s="372">
        <v>0</v>
      </c>
      <c r="F53" s="2224">
        <v>0</v>
      </c>
      <c r="G53" s="734">
        <v>0</v>
      </c>
    </row>
    <row r="54" spans="1:7" x14ac:dyDescent="0.3">
      <c r="A54" s="526" t="s">
        <v>12</v>
      </c>
      <c r="B54" s="375">
        <v>0</v>
      </c>
      <c r="C54" s="779">
        <v>0</v>
      </c>
      <c r="D54" s="735">
        <v>0</v>
      </c>
      <c r="E54" s="377">
        <v>0</v>
      </c>
      <c r="F54" s="2223">
        <v>0</v>
      </c>
      <c r="G54" s="735">
        <v>0</v>
      </c>
    </row>
    <row r="55" spans="1:7" x14ac:dyDescent="0.3">
      <c r="A55" s="372" t="s">
        <v>391</v>
      </c>
      <c r="B55" s="372">
        <v>0</v>
      </c>
      <c r="C55" s="778">
        <v>0</v>
      </c>
      <c r="D55" s="734">
        <v>0</v>
      </c>
      <c r="E55" s="372">
        <v>0</v>
      </c>
      <c r="F55" s="2224">
        <v>0</v>
      </c>
      <c r="G55" s="734">
        <v>0</v>
      </c>
    </row>
    <row r="56" spans="1:7" x14ac:dyDescent="0.3">
      <c r="A56" s="372" t="s">
        <v>392</v>
      </c>
      <c r="B56" s="372">
        <v>0</v>
      </c>
      <c r="C56" s="778">
        <v>0</v>
      </c>
      <c r="D56" s="734">
        <v>0</v>
      </c>
      <c r="E56" s="372">
        <v>0</v>
      </c>
      <c r="F56" s="2224">
        <v>0</v>
      </c>
      <c r="G56" s="2227">
        <v>0</v>
      </c>
    </row>
    <row r="57" spans="1:7" x14ac:dyDescent="0.3">
      <c r="A57" s="372" t="s">
        <v>393</v>
      </c>
      <c r="B57" s="372">
        <v>0</v>
      </c>
      <c r="C57" s="778">
        <v>0</v>
      </c>
      <c r="D57" s="734">
        <v>0</v>
      </c>
      <c r="E57" s="372">
        <v>0</v>
      </c>
      <c r="F57" s="2224">
        <v>0</v>
      </c>
      <c r="G57" s="2227">
        <v>0</v>
      </c>
    </row>
    <row r="58" spans="1:7" x14ac:dyDescent="0.3">
      <c r="A58" s="372" t="s">
        <v>394</v>
      </c>
      <c r="B58" s="372">
        <v>0</v>
      </c>
      <c r="C58" s="778">
        <v>0</v>
      </c>
      <c r="D58" s="734">
        <v>0</v>
      </c>
      <c r="E58" s="372">
        <v>0</v>
      </c>
      <c r="F58" s="2224">
        <v>0</v>
      </c>
      <c r="G58" s="2227">
        <v>0</v>
      </c>
    </row>
    <row r="59" spans="1:7" x14ac:dyDescent="0.3">
      <c r="A59" s="377"/>
      <c r="B59" s="377"/>
      <c r="C59" s="780"/>
      <c r="D59" s="736"/>
      <c r="E59" s="377"/>
      <c r="F59" s="2225"/>
      <c r="G59" s="2226"/>
    </row>
    <row r="74" spans="1:7" x14ac:dyDescent="0.3">
      <c r="A74" s="3516" t="s">
        <v>0</v>
      </c>
      <c r="B74" s="3515" t="s">
        <v>24</v>
      </c>
      <c r="C74" s="3515"/>
      <c r="D74" s="3515"/>
      <c r="E74" s="3515" t="s">
        <v>23</v>
      </c>
      <c r="F74" s="3515"/>
      <c r="G74" s="3515"/>
    </row>
    <row r="75" spans="1:7" x14ac:dyDescent="0.3">
      <c r="A75" s="3517"/>
      <c r="B75" s="380" t="s">
        <v>28</v>
      </c>
      <c r="C75" s="775" t="s">
        <v>34</v>
      </c>
      <c r="D75" s="731" t="s">
        <v>62</v>
      </c>
      <c r="E75" s="380" t="s">
        <v>28</v>
      </c>
      <c r="F75" s="775" t="s">
        <v>34</v>
      </c>
      <c r="G75" s="731" t="s">
        <v>62</v>
      </c>
    </row>
    <row r="76" spans="1:7" ht="19.5" thickBot="1" x14ac:dyDescent="0.35">
      <c r="A76" s="525" t="s">
        <v>28</v>
      </c>
      <c r="B76" s="367">
        <v>0</v>
      </c>
      <c r="C76" s="776">
        <v>0</v>
      </c>
      <c r="D76" s="732">
        <v>0</v>
      </c>
      <c r="E76" s="367">
        <v>0</v>
      </c>
      <c r="F76" s="776">
        <v>0</v>
      </c>
      <c r="G76" s="732">
        <v>0</v>
      </c>
    </row>
    <row r="77" spans="1:7" ht="19.5" thickTop="1" x14ac:dyDescent="0.3">
      <c r="A77" s="369" t="s">
        <v>7</v>
      </c>
      <c r="B77" s="370">
        <v>0</v>
      </c>
      <c r="C77" s="777">
        <v>0</v>
      </c>
      <c r="D77" s="733">
        <v>0</v>
      </c>
      <c r="E77" s="370">
        <v>0</v>
      </c>
      <c r="F77" s="777">
        <v>0</v>
      </c>
      <c r="G77" s="733">
        <v>0</v>
      </c>
    </row>
    <row r="78" spans="1:7" x14ac:dyDescent="0.3">
      <c r="A78" s="398" t="s">
        <v>8</v>
      </c>
      <c r="B78" s="372">
        <v>0</v>
      </c>
      <c r="C78" s="778"/>
      <c r="D78" s="734"/>
      <c r="E78" s="372">
        <v>0</v>
      </c>
      <c r="F78" s="778"/>
      <c r="G78" s="734"/>
    </row>
    <row r="79" spans="1:7" x14ac:dyDescent="0.3">
      <c r="A79" s="398" t="s">
        <v>306</v>
      </c>
      <c r="B79" s="372">
        <v>0</v>
      </c>
      <c r="C79" s="778"/>
      <c r="D79" s="734"/>
      <c r="E79" s="372">
        <v>0</v>
      </c>
      <c r="F79" s="778"/>
      <c r="G79" s="734"/>
    </row>
    <row r="80" spans="1:7" x14ac:dyDescent="0.3">
      <c r="A80" s="372"/>
      <c r="B80" s="372"/>
      <c r="C80" s="778"/>
      <c r="D80" s="734"/>
      <c r="E80" s="372"/>
      <c r="F80" s="778"/>
      <c r="G80" s="734"/>
    </row>
    <row r="81" spans="1:7" x14ac:dyDescent="0.3">
      <c r="A81" s="526" t="s">
        <v>9</v>
      </c>
      <c r="B81" s="375">
        <v>0</v>
      </c>
      <c r="C81" s="779">
        <v>0</v>
      </c>
      <c r="D81" s="735">
        <v>0</v>
      </c>
      <c r="E81" s="375">
        <v>0</v>
      </c>
      <c r="F81" s="779">
        <v>0</v>
      </c>
      <c r="G81" s="735">
        <v>0</v>
      </c>
    </row>
    <row r="82" spans="1:7" x14ac:dyDescent="0.3">
      <c r="A82" s="372" t="s">
        <v>308</v>
      </c>
      <c r="B82" s="372">
        <v>0</v>
      </c>
      <c r="C82" s="778"/>
      <c r="D82" s="734"/>
      <c r="E82" s="372">
        <v>0</v>
      </c>
      <c r="F82" s="778"/>
      <c r="G82" s="734"/>
    </row>
    <row r="83" spans="1:7" x14ac:dyDescent="0.3">
      <c r="A83" s="372" t="s">
        <v>309</v>
      </c>
      <c r="B83" s="372">
        <v>0</v>
      </c>
      <c r="C83" s="778"/>
      <c r="D83" s="734"/>
      <c r="E83" s="372">
        <v>0</v>
      </c>
      <c r="F83" s="778"/>
      <c r="G83" s="734"/>
    </row>
    <row r="84" spans="1:7" x14ac:dyDescent="0.3">
      <c r="A84" s="372" t="s">
        <v>310</v>
      </c>
      <c r="B84" s="372">
        <v>0</v>
      </c>
      <c r="C84" s="778"/>
      <c r="D84" s="734"/>
      <c r="E84" s="372">
        <v>0</v>
      </c>
      <c r="F84" s="778"/>
      <c r="G84" s="734"/>
    </row>
    <row r="85" spans="1:7" x14ac:dyDescent="0.3">
      <c r="A85" s="372" t="s">
        <v>311</v>
      </c>
      <c r="B85" s="372">
        <v>0</v>
      </c>
      <c r="C85" s="778"/>
      <c r="D85" s="734"/>
      <c r="E85" s="372">
        <v>0</v>
      </c>
      <c r="F85" s="778"/>
      <c r="G85" s="734"/>
    </row>
    <row r="86" spans="1:7" x14ac:dyDescent="0.3">
      <c r="A86" s="372" t="s">
        <v>312</v>
      </c>
      <c r="B86" s="372">
        <v>0</v>
      </c>
      <c r="C86" s="778"/>
      <c r="D86" s="734"/>
      <c r="E86" s="372">
        <v>0</v>
      </c>
      <c r="F86" s="778"/>
      <c r="G86" s="734"/>
    </row>
    <row r="87" spans="1:7" x14ac:dyDescent="0.3">
      <c r="A87" s="372" t="s">
        <v>313</v>
      </c>
      <c r="B87" s="372">
        <v>0</v>
      </c>
      <c r="C87" s="778"/>
      <c r="D87" s="734"/>
      <c r="E87" s="372">
        <v>0</v>
      </c>
      <c r="F87" s="778"/>
      <c r="G87" s="734"/>
    </row>
    <row r="88" spans="1:7" x14ac:dyDescent="0.3">
      <c r="A88" s="372" t="s">
        <v>314</v>
      </c>
      <c r="B88" s="372"/>
      <c r="C88" s="778"/>
      <c r="D88" s="734"/>
      <c r="E88" s="372"/>
      <c r="F88" s="778"/>
      <c r="G88" s="734"/>
    </row>
    <row r="89" spans="1:7" x14ac:dyDescent="0.3">
      <c r="A89" s="372" t="s">
        <v>315</v>
      </c>
      <c r="B89" s="372"/>
      <c r="C89" s="778"/>
      <c r="D89" s="734"/>
      <c r="E89" s="372"/>
      <c r="F89" s="778"/>
      <c r="G89" s="734"/>
    </row>
    <row r="90" spans="1:7" x14ac:dyDescent="0.3">
      <c r="A90" s="372" t="s">
        <v>390</v>
      </c>
      <c r="B90" s="372"/>
      <c r="C90" s="778"/>
      <c r="D90" s="734"/>
      <c r="E90" s="372"/>
      <c r="F90" s="778"/>
      <c r="G90" s="734"/>
    </row>
    <row r="91" spans="1:7" x14ac:dyDescent="0.3">
      <c r="A91" s="526" t="s">
        <v>12</v>
      </c>
      <c r="B91" s="375">
        <v>0</v>
      </c>
      <c r="C91" s="779">
        <v>0</v>
      </c>
      <c r="D91" s="735">
        <v>0</v>
      </c>
      <c r="E91" s="375">
        <v>0</v>
      </c>
      <c r="F91" s="779">
        <v>0</v>
      </c>
      <c r="G91" s="735">
        <v>0</v>
      </c>
    </row>
    <row r="92" spans="1:7" x14ac:dyDescent="0.3">
      <c r="A92" s="372" t="s">
        <v>391</v>
      </c>
      <c r="B92" s="372">
        <v>0</v>
      </c>
      <c r="C92" s="778"/>
      <c r="D92" s="734"/>
      <c r="E92" s="372">
        <v>0</v>
      </c>
      <c r="F92" s="778"/>
      <c r="G92" s="734"/>
    </row>
    <row r="93" spans="1:7" x14ac:dyDescent="0.3">
      <c r="A93" s="372" t="s">
        <v>392</v>
      </c>
      <c r="B93" s="372">
        <v>0</v>
      </c>
      <c r="C93" s="778"/>
      <c r="D93" s="734"/>
      <c r="E93" s="372">
        <v>0</v>
      </c>
      <c r="F93" s="778"/>
      <c r="G93" s="734"/>
    </row>
    <row r="94" spans="1:7" x14ac:dyDescent="0.3">
      <c r="A94" s="372" t="s">
        <v>393</v>
      </c>
      <c r="B94" s="372">
        <v>0</v>
      </c>
      <c r="C94" s="778"/>
      <c r="D94" s="734"/>
      <c r="E94" s="372">
        <v>0</v>
      </c>
      <c r="F94" s="778"/>
      <c r="G94" s="734"/>
    </row>
    <row r="95" spans="1:7" x14ac:dyDescent="0.3">
      <c r="A95" s="372" t="s">
        <v>394</v>
      </c>
      <c r="B95" s="372">
        <v>0</v>
      </c>
      <c r="C95" s="778"/>
      <c r="D95" s="734"/>
      <c r="E95" s="372">
        <v>0</v>
      </c>
      <c r="F95" s="778"/>
      <c r="G95" s="734"/>
    </row>
    <row r="96" spans="1:7" x14ac:dyDescent="0.3">
      <c r="A96" s="377"/>
      <c r="B96" s="377"/>
      <c r="C96" s="780"/>
      <c r="D96" s="736"/>
      <c r="E96" s="377"/>
      <c r="F96" s="780"/>
      <c r="G96" s="736"/>
    </row>
    <row r="111" spans="1:7" x14ac:dyDescent="0.3">
      <c r="A111" s="3516" t="s">
        <v>0</v>
      </c>
      <c r="B111" s="3515" t="s">
        <v>4</v>
      </c>
      <c r="C111" s="3515"/>
      <c r="D111" s="3515"/>
      <c r="E111" s="3515" t="s">
        <v>20</v>
      </c>
      <c r="F111" s="3515"/>
      <c r="G111" s="3515"/>
    </row>
    <row r="112" spans="1:7" x14ac:dyDescent="0.3">
      <c r="A112" s="3517"/>
      <c r="B112" s="380" t="s">
        <v>28</v>
      </c>
      <c r="C112" s="775" t="s">
        <v>34</v>
      </c>
      <c r="D112" s="731" t="s">
        <v>62</v>
      </c>
      <c r="E112" s="380" t="s">
        <v>28</v>
      </c>
      <c r="F112" s="775" t="s">
        <v>34</v>
      </c>
      <c r="G112" s="731" t="s">
        <v>62</v>
      </c>
    </row>
    <row r="113" spans="1:7" ht="19.5" thickBot="1" x14ac:dyDescent="0.35">
      <c r="A113" s="525" t="s">
        <v>28</v>
      </c>
      <c r="B113" s="367">
        <v>0</v>
      </c>
      <c r="C113" s="776">
        <v>0</v>
      </c>
      <c r="D113" s="732">
        <v>0</v>
      </c>
      <c r="E113" s="367">
        <v>0</v>
      </c>
      <c r="F113" s="776">
        <v>0</v>
      </c>
      <c r="G113" s="732">
        <v>0</v>
      </c>
    </row>
    <row r="114" spans="1:7" ht="19.5" thickTop="1" x14ac:dyDescent="0.3">
      <c r="A114" s="369" t="s">
        <v>7</v>
      </c>
      <c r="B114" s="370">
        <v>0</v>
      </c>
      <c r="C114" s="777">
        <v>0</v>
      </c>
      <c r="D114" s="733">
        <v>0</v>
      </c>
      <c r="E114" s="370">
        <v>0</v>
      </c>
      <c r="F114" s="777">
        <v>0</v>
      </c>
      <c r="G114" s="733">
        <v>0</v>
      </c>
    </row>
    <row r="115" spans="1:7" x14ac:dyDescent="0.3">
      <c r="A115" s="398" t="s">
        <v>8</v>
      </c>
      <c r="B115" s="372">
        <v>0</v>
      </c>
      <c r="C115" s="778"/>
      <c r="D115" s="734"/>
      <c r="E115" s="372">
        <v>0</v>
      </c>
      <c r="F115" s="778"/>
      <c r="G115" s="734"/>
    </row>
    <row r="116" spans="1:7" x14ac:dyDescent="0.3">
      <c r="A116" s="398" t="s">
        <v>306</v>
      </c>
      <c r="B116" s="372">
        <v>0</v>
      </c>
      <c r="C116" s="778"/>
      <c r="D116" s="734"/>
      <c r="E116" s="372">
        <v>0</v>
      </c>
      <c r="F116" s="778"/>
      <c r="G116" s="734"/>
    </row>
    <row r="117" spans="1:7" x14ac:dyDescent="0.3">
      <c r="A117" s="372"/>
      <c r="B117" s="372"/>
      <c r="C117" s="778"/>
      <c r="D117" s="734"/>
      <c r="E117" s="372"/>
      <c r="F117" s="778"/>
      <c r="G117" s="734"/>
    </row>
    <row r="118" spans="1:7" x14ac:dyDescent="0.3">
      <c r="A118" s="526" t="s">
        <v>9</v>
      </c>
      <c r="B118" s="375">
        <v>0</v>
      </c>
      <c r="C118" s="779">
        <v>0</v>
      </c>
      <c r="D118" s="735">
        <v>0</v>
      </c>
      <c r="E118" s="375">
        <v>0</v>
      </c>
      <c r="F118" s="779">
        <v>0</v>
      </c>
      <c r="G118" s="735">
        <v>0</v>
      </c>
    </row>
    <row r="119" spans="1:7" x14ac:dyDescent="0.3">
      <c r="A119" s="372" t="s">
        <v>308</v>
      </c>
      <c r="B119" s="372">
        <v>0</v>
      </c>
      <c r="C119" s="778"/>
      <c r="D119" s="734"/>
      <c r="E119" s="372">
        <v>0</v>
      </c>
      <c r="F119" s="778"/>
      <c r="G119" s="734"/>
    </row>
    <row r="120" spans="1:7" x14ac:dyDescent="0.3">
      <c r="A120" s="372" t="s">
        <v>309</v>
      </c>
      <c r="B120" s="372">
        <v>0</v>
      </c>
      <c r="C120" s="778"/>
      <c r="D120" s="734"/>
      <c r="E120" s="372">
        <v>0</v>
      </c>
      <c r="F120" s="778"/>
      <c r="G120" s="734"/>
    </row>
    <row r="121" spans="1:7" x14ac:dyDescent="0.3">
      <c r="A121" s="372" t="s">
        <v>310</v>
      </c>
      <c r="B121" s="372">
        <v>0</v>
      </c>
      <c r="C121" s="778"/>
      <c r="D121" s="734"/>
      <c r="E121" s="372">
        <v>0</v>
      </c>
      <c r="F121" s="778"/>
      <c r="G121" s="734"/>
    </row>
    <row r="122" spans="1:7" x14ac:dyDescent="0.3">
      <c r="A122" s="372" t="s">
        <v>311</v>
      </c>
      <c r="B122" s="372">
        <v>0</v>
      </c>
      <c r="C122" s="778"/>
      <c r="D122" s="734"/>
      <c r="E122" s="372">
        <v>0</v>
      </c>
      <c r="F122" s="778"/>
      <c r="G122" s="734"/>
    </row>
    <row r="123" spans="1:7" x14ac:dyDescent="0.3">
      <c r="A123" s="372" t="s">
        <v>312</v>
      </c>
      <c r="B123" s="372">
        <v>0</v>
      </c>
      <c r="C123" s="778"/>
      <c r="D123" s="734"/>
      <c r="E123" s="372">
        <v>0</v>
      </c>
      <c r="F123" s="778"/>
      <c r="G123" s="734"/>
    </row>
    <row r="124" spans="1:7" x14ac:dyDescent="0.3">
      <c r="A124" s="372" t="s">
        <v>313</v>
      </c>
      <c r="B124" s="372">
        <v>0</v>
      </c>
      <c r="C124" s="778"/>
      <c r="D124" s="734"/>
      <c r="E124" s="372">
        <v>0</v>
      </c>
      <c r="F124" s="778"/>
      <c r="G124" s="734"/>
    </row>
    <row r="125" spans="1:7" x14ac:dyDescent="0.3">
      <c r="A125" s="372" t="s">
        <v>314</v>
      </c>
      <c r="B125" s="372">
        <v>0</v>
      </c>
      <c r="C125" s="778"/>
      <c r="D125" s="734"/>
      <c r="E125" s="372">
        <v>0</v>
      </c>
      <c r="F125" s="778"/>
      <c r="G125" s="734"/>
    </row>
    <row r="126" spans="1:7" x14ac:dyDescent="0.3">
      <c r="A126" s="372" t="s">
        <v>315</v>
      </c>
      <c r="B126" s="372">
        <v>0</v>
      </c>
      <c r="C126" s="778"/>
      <c r="D126" s="734"/>
      <c r="E126" s="372">
        <v>0</v>
      </c>
      <c r="F126" s="778"/>
      <c r="G126" s="734"/>
    </row>
    <row r="127" spans="1:7" x14ac:dyDescent="0.3">
      <c r="A127" s="372" t="s">
        <v>390</v>
      </c>
      <c r="B127" s="372">
        <v>0</v>
      </c>
      <c r="C127" s="778"/>
      <c r="D127" s="734"/>
      <c r="E127" s="372"/>
      <c r="F127" s="778"/>
      <c r="G127" s="734"/>
    </row>
    <row r="128" spans="1:7" x14ac:dyDescent="0.3">
      <c r="A128" s="526" t="s">
        <v>12</v>
      </c>
      <c r="B128" s="375">
        <v>0</v>
      </c>
      <c r="C128" s="779">
        <v>0</v>
      </c>
      <c r="D128" s="735">
        <v>0</v>
      </c>
      <c r="E128" s="375">
        <v>0</v>
      </c>
      <c r="F128" s="779">
        <v>0</v>
      </c>
      <c r="G128" s="735">
        <v>0</v>
      </c>
    </row>
    <row r="129" spans="1:7" x14ac:dyDescent="0.3">
      <c r="A129" s="372" t="s">
        <v>391</v>
      </c>
      <c r="B129" s="372">
        <v>0</v>
      </c>
      <c r="C129" s="778"/>
      <c r="D129" s="734"/>
      <c r="E129" s="372">
        <v>0</v>
      </c>
      <c r="F129" s="778"/>
      <c r="G129" s="734"/>
    </row>
    <row r="130" spans="1:7" x14ac:dyDescent="0.3">
      <c r="A130" s="372" t="s">
        <v>392</v>
      </c>
      <c r="B130" s="372">
        <v>0</v>
      </c>
      <c r="C130" s="778"/>
      <c r="D130" s="734"/>
      <c r="E130" s="372">
        <v>0</v>
      </c>
      <c r="F130" s="778"/>
      <c r="G130" s="734"/>
    </row>
    <row r="131" spans="1:7" x14ac:dyDescent="0.3">
      <c r="A131" s="372" t="s">
        <v>393</v>
      </c>
      <c r="B131" s="372">
        <v>0</v>
      </c>
      <c r="C131" s="778"/>
      <c r="D131" s="734"/>
      <c r="E131" s="372">
        <v>0</v>
      </c>
      <c r="F131" s="778"/>
      <c r="G131" s="734"/>
    </row>
    <row r="132" spans="1:7" x14ac:dyDescent="0.3">
      <c r="A132" s="372" t="s">
        <v>394</v>
      </c>
      <c r="B132" s="372">
        <v>0</v>
      </c>
      <c r="C132" s="778"/>
      <c r="D132" s="734"/>
      <c r="E132" s="372">
        <v>0</v>
      </c>
      <c r="F132" s="778"/>
      <c r="G132" s="734"/>
    </row>
    <row r="133" spans="1:7" x14ac:dyDescent="0.3">
      <c r="A133" s="377"/>
      <c r="B133" s="377"/>
      <c r="C133" s="780"/>
      <c r="D133" s="736"/>
      <c r="E133" s="377"/>
      <c r="F133" s="780"/>
      <c r="G133" s="736"/>
    </row>
    <row r="148" spans="1:7" x14ac:dyDescent="0.3">
      <c r="A148" s="3516" t="s">
        <v>0</v>
      </c>
      <c r="B148" s="3515" t="s">
        <v>5</v>
      </c>
      <c r="C148" s="3515"/>
      <c r="D148" s="3515"/>
      <c r="E148" s="3515" t="s">
        <v>21</v>
      </c>
      <c r="F148" s="3515"/>
      <c r="G148" s="3515"/>
    </row>
    <row r="149" spans="1:7" x14ac:dyDescent="0.3">
      <c r="A149" s="3517"/>
      <c r="B149" s="380" t="s">
        <v>28</v>
      </c>
      <c r="C149" s="775" t="s">
        <v>34</v>
      </c>
      <c r="D149" s="731" t="s">
        <v>62</v>
      </c>
      <c r="E149" s="380" t="s">
        <v>28</v>
      </c>
      <c r="F149" s="775" t="s">
        <v>34</v>
      </c>
      <c r="G149" s="731" t="s">
        <v>62</v>
      </c>
    </row>
    <row r="150" spans="1:7" ht="19.5" thickBot="1" x14ac:dyDescent="0.35">
      <c r="A150" s="525" t="s">
        <v>28</v>
      </c>
      <c r="B150" s="367">
        <v>0</v>
      </c>
      <c r="C150" s="776">
        <v>0</v>
      </c>
      <c r="D150" s="732">
        <v>0</v>
      </c>
      <c r="E150" s="367">
        <v>0</v>
      </c>
      <c r="F150" s="776">
        <v>0</v>
      </c>
      <c r="G150" s="732">
        <v>0</v>
      </c>
    </row>
    <row r="151" spans="1:7" ht="19.5" thickTop="1" x14ac:dyDescent="0.3">
      <c r="A151" s="369" t="s">
        <v>7</v>
      </c>
      <c r="B151" s="370">
        <v>0</v>
      </c>
      <c r="C151" s="777">
        <v>0</v>
      </c>
      <c r="D151" s="733">
        <v>0</v>
      </c>
      <c r="E151" s="370">
        <v>0</v>
      </c>
      <c r="F151" s="777">
        <v>0</v>
      </c>
      <c r="G151" s="733">
        <v>0</v>
      </c>
    </row>
    <row r="152" spans="1:7" x14ac:dyDescent="0.3">
      <c r="A152" s="398" t="s">
        <v>8</v>
      </c>
      <c r="B152" s="372">
        <v>0</v>
      </c>
      <c r="C152" s="778"/>
      <c r="D152" s="734"/>
      <c r="E152" s="372">
        <v>0</v>
      </c>
      <c r="F152" s="778"/>
      <c r="G152" s="734"/>
    </row>
    <row r="153" spans="1:7" x14ac:dyDescent="0.3">
      <c r="A153" s="398" t="s">
        <v>306</v>
      </c>
      <c r="B153" s="372">
        <v>0</v>
      </c>
      <c r="C153" s="778"/>
      <c r="D153" s="734"/>
      <c r="E153" s="372">
        <v>0</v>
      </c>
      <c r="F153" s="778"/>
      <c r="G153" s="734"/>
    </row>
    <row r="154" spans="1:7" x14ac:dyDescent="0.3">
      <c r="A154" s="372"/>
      <c r="B154" s="372"/>
      <c r="C154" s="778"/>
      <c r="D154" s="734"/>
      <c r="E154" s="372"/>
      <c r="F154" s="778"/>
      <c r="G154" s="734"/>
    </row>
    <row r="155" spans="1:7" x14ac:dyDescent="0.3">
      <c r="A155" s="526" t="s">
        <v>9</v>
      </c>
      <c r="B155" s="375">
        <v>0</v>
      </c>
      <c r="C155" s="779">
        <v>0</v>
      </c>
      <c r="D155" s="735">
        <v>0</v>
      </c>
      <c r="E155" s="375">
        <v>0</v>
      </c>
      <c r="F155" s="779">
        <v>0</v>
      </c>
      <c r="G155" s="735">
        <v>0</v>
      </c>
    </row>
    <row r="156" spans="1:7" x14ac:dyDescent="0.3">
      <c r="A156" s="372" t="s">
        <v>308</v>
      </c>
      <c r="B156" s="372">
        <v>0</v>
      </c>
      <c r="C156" s="778"/>
      <c r="D156" s="734"/>
      <c r="E156" s="372">
        <v>0</v>
      </c>
      <c r="F156" s="778"/>
      <c r="G156" s="734"/>
    </row>
    <row r="157" spans="1:7" x14ac:dyDescent="0.3">
      <c r="A157" s="372" t="s">
        <v>309</v>
      </c>
      <c r="B157" s="372">
        <v>0</v>
      </c>
      <c r="C157" s="778"/>
      <c r="D157" s="734"/>
      <c r="E157" s="372">
        <v>0</v>
      </c>
      <c r="F157" s="778"/>
      <c r="G157" s="734"/>
    </row>
    <row r="158" spans="1:7" x14ac:dyDescent="0.3">
      <c r="A158" s="372" t="s">
        <v>310</v>
      </c>
      <c r="B158" s="372">
        <v>0</v>
      </c>
      <c r="C158" s="778"/>
      <c r="D158" s="734"/>
      <c r="E158" s="372">
        <v>0</v>
      </c>
      <c r="F158" s="778"/>
      <c r="G158" s="734"/>
    </row>
    <row r="159" spans="1:7" x14ac:dyDescent="0.3">
      <c r="A159" s="372" t="s">
        <v>311</v>
      </c>
      <c r="B159" s="372">
        <v>0</v>
      </c>
      <c r="C159" s="778"/>
      <c r="D159" s="734"/>
      <c r="E159" s="372">
        <v>0</v>
      </c>
      <c r="F159" s="778"/>
      <c r="G159" s="734"/>
    </row>
    <row r="160" spans="1:7" x14ac:dyDescent="0.3">
      <c r="A160" s="372" t="s">
        <v>312</v>
      </c>
      <c r="B160" s="372">
        <v>0</v>
      </c>
      <c r="C160" s="778"/>
      <c r="D160" s="734"/>
      <c r="E160" s="372">
        <v>0</v>
      </c>
      <c r="F160" s="778"/>
      <c r="G160" s="734"/>
    </row>
    <row r="161" spans="1:7" x14ac:dyDescent="0.3">
      <c r="A161" s="372" t="s">
        <v>313</v>
      </c>
      <c r="B161" s="372">
        <v>0</v>
      </c>
      <c r="C161" s="778"/>
      <c r="D161" s="734"/>
      <c r="E161" s="372">
        <v>0</v>
      </c>
      <c r="F161" s="778"/>
      <c r="G161" s="734"/>
    </row>
    <row r="162" spans="1:7" x14ac:dyDescent="0.3">
      <c r="A162" s="372" t="s">
        <v>314</v>
      </c>
      <c r="B162" s="372"/>
      <c r="C162" s="778"/>
      <c r="D162" s="734"/>
      <c r="E162" s="372">
        <v>0</v>
      </c>
      <c r="F162" s="778"/>
      <c r="G162" s="734"/>
    </row>
    <row r="163" spans="1:7" x14ac:dyDescent="0.3">
      <c r="A163" s="372" t="s">
        <v>315</v>
      </c>
      <c r="B163" s="372"/>
      <c r="C163" s="778"/>
      <c r="D163" s="734"/>
      <c r="E163" s="372">
        <v>0</v>
      </c>
      <c r="F163" s="778"/>
      <c r="G163" s="734"/>
    </row>
    <row r="164" spans="1:7" x14ac:dyDescent="0.3">
      <c r="A164" s="372" t="s">
        <v>390</v>
      </c>
      <c r="B164" s="372"/>
      <c r="C164" s="778"/>
      <c r="D164" s="734"/>
      <c r="E164" s="372"/>
      <c r="F164" s="778"/>
      <c r="G164" s="734"/>
    </row>
    <row r="165" spans="1:7" x14ac:dyDescent="0.3">
      <c r="A165" s="526" t="s">
        <v>12</v>
      </c>
      <c r="B165" s="375">
        <v>0</v>
      </c>
      <c r="C165" s="779">
        <v>0</v>
      </c>
      <c r="D165" s="735">
        <v>0</v>
      </c>
      <c r="E165" s="375">
        <v>0</v>
      </c>
      <c r="F165" s="779">
        <v>0</v>
      </c>
      <c r="G165" s="735">
        <v>0</v>
      </c>
    </row>
    <row r="166" spans="1:7" x14ac:dyDescent="0.3">
      <c r="A166" s="372" t="s">
        <v>391</v>
      </c>
      <c r="B166" s="372">
        <v>0</v>
      </c>
      <c r="C166" s="778"/>
      <c r="D166" s="734"/>
      <c r="E166" s="372">
        <v>0</v>
      </c>
      <c r="F166" s="778"/>
      <c r="G166" s="734"/>
    </row>
    <row r="167" spans="1:7" x14ac:dyDescent="0.3">
      <c r="A167" s="372" t="s">
        <v>392</v>
      </c>
      <c r="B167" s="372">
        <v>0</v>
      </c>
      <c r="C167" s="778"/>
      <c r="D167" s="734"/>
      <c r="E167" s="372">
        <v>0</v>
      </c>
      <c r="F167" s="778"/>
      <c r="G167" s="734"/>
    </row>
    <row r="168" spans="1:7" x14ac:dyDescent="0.3">
      <c r="A168" s="372" t="s">
        <v>393</v>
      </c>
      <c r="B168" s="372">
        <v>0</v>
      </c>
      <c r="C168" s="778"/>
      <c r="D168" s="734"/>
      <c r="E168" s="372">
        <v>0</v>
      </c>
      <c r="F168" s="778"/>
      <c r="G168" s="734"/>
    </row>
    <row r="169" spans="1:7" x14ac:dyDescent="0.3">
      <c r="A169" s="372" t="s">
        <v>394</v>
      </c>
      <c r="B169" s="372">
        <v>0</v>
      </c>
      <c r="C169" s="778"/>
      <c r="D169" s="734"/>
      <c r="E169" s="372">
        <v>0</v>
      </c>
      <c r="F169" s="778"/>
      <c r="G169" s="734"/>
    </row>
    <row r="170" spans="1:7" x14ac:dyDescent="0.3">
      <c r="A170" s="377"/>
      <c r="B170" s="377"/>
      <c r="C170" s="780"/>
      <c r="D170" s="736"/>
      <c r="E170" s="377"/>
      <c r="F170" s="780"/>
      <c r="G170" s="736"/>
    </row>
  </sheetData>
  <mergeCells count="17">
    <mergeCell ref="A37:A38"/>
    <mergeCell ref="B37:D37"/>
    <mergeCell ref="E37:G37"/>
    <mergeCell ref="A148:A149"/>
    <mergeCell ref="B148:D148"/>
    <mergeCell ref="E148:G148"/>
    <mergeCell ref="A74:A75"/>
    <mergeCell ref="B74:D74"/>
    <mergeCell ref="E74:G74"/>
    <mergeCell ref="A111:A112"/>
    <mergeCell ref="B111:D111"/>
    <mergeCell ref="E111:G111"/>
    <mergeCell ref="A3:A4"/>
    <mergeCell ref="B3:D3"/>
    <mergeCell ref="E3:G3"/>
    <mergeCell ref="I3:I4"/>
    <mergeCell ref="J3:L3"/>
  </mergeCells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55E48-B9F2-4BE7-8E7D-96159D52A17E}">
  <sheetPr>
    <tabColor rgb="FFFFCCFF"/>
  </sheetPr>
  <dimension ref="A1:T170"/>
  <sheetViews>
    <sheetView zoomScaleNormal="100" workbookViewId="0">
      <selection sqref="A1:XFD1048576"/>
    </sheetView>
  </sheetViews>
  <sheetFormatPr defaultColWidth="9.140625" defaultRowHeight="18.75" x14ac:dyDescent="0.3"/>
  <cols>
    <col min="1" max="1" width="25.7109375" style="339" customWidth="1"/>
    <col min="2" max="2" width="9" style="339" customWidth="1"/>
    <col min="3" max="3" width="11.28515625" style="339" customWidth="1"/>
    <col min="4" max="7" width="9" style="339" customWidth="1"/>
    <col min="8" max="8" width="9.140625" style="339"/>
    <col min="9" max="9" width="23.28515625" style="339" customWidth="1"/>
    <col min="10" max="10" width="9.7109375" style="339" customWidth="1"/>
    <col min="11" max="11" width="10.28515625" style="339" customWidth="1"/>
    <col min="12" max="12" width="9.28515625" style="339" customWidth="1"/>
    <col min="13" max="13" width="16.42578125" style="339" customWidth="1"/>
    <col min="14" max="14" width="10.42578125" style="339" customWidth="1"/>
    <col min="15" max="15" width="10" style="339" bestFit="1" customWidth="1"/>
    <col min="16" max="16" width="11" style="339" bestFit="1" customWidth="1"/>
    <col min="17" max="17" width="10.85546875" style="339" customWidth="1"/>
    <col min="18" max="16384" width="9.140625" style="339"/>
  </cols>
  <sheetData>
    <row r="1" spans="1:20" x14ac:dyDescent="0.3">
      <c r="A1" s="342" t="s">
        <v>956</v>
      </c>
      <c r="L1" s="382"/>
      <c r="N1" s="382"/>
      <c r="Q1" s="520"/>
      <c r="R1" s="520"/>
      <c r="S1" s="521"/>
      <c r="T1" s="522"/>
    </row>
    <row r="2" spans="1:20" x14ac:dyDescent="0.3">
      <c r="N2" s="379"/>
      <c r="Q2" s="520"/>
      <c r="R2" s="520"/>
      <c r="S2" s="523"/>
      <c r="T2" s="520"/>
    </row>
    <row r="3" spans="1:20" ht="24.95" customHeight="1" x14ac:dyDescent="0.3">
      <c r="A3" s="3516" t="s">
        <v>0</v>
      </c>
      <c r="B3" s="3515" t="s">
        <v>6</v>
      </c>
      <c r="C3" s="3515"/>
      <c r="D3" s="3515"/>
      <c r="E3" s="3515" t="s">
        <v>2</v>
      </c>
      <c r="F3" s="3515"/>
      <c r="G3" s="3515"/>
      <c r="I3" s="3516" t="s">
        <v>0</v>
      </c>
      <c r="J3" s="3518" t="s">
        <v>28</v>
      </c>
      <c r="K3" s="3518"/>
      <c r="L3" s="3518"/>
      <c r="N3" s="379"/>
      <c r="Q3" s="520"/>
      <c r="R3" s="520"/>
      <c r="S3" s="520"/>
      <c r="T3" s="520"/>
    </row>
    <row r="4" spans="1:20" ht="24.95" customHeight="1" x14ac:dyDescent="0.3">
      <c r="A4" s="3517"/>
      <c r="B4" s="380" t="s">
        <v>28</v>
      </c>
      <c r="C4" s="775" t="s">
        <v>34</v>
      </c>
      <c r="D4" s="731" t="s">
        <v>62</v>
      </c>
      <c r="E4" s="380" t="s">
        <v>28</v>
      </c>
      <c r="F4" s="775" t="s">
        <v>34</v>
      </c>
      <c r="G4" s="731" t="s">
        <v>62</v>
      </c>
      <c r="I4" s="3517"/>
      <c r="J4" s="380" t="s">
        <v>28</v>
      </c>
      <c r="K4" s="775" t="s">
        <v>34</v>
      </c>
      <c r="L4" s="731" t="s">
        <v>62</v>
      </c>
      <c r="N4" s="379"/>
      <c r="Q4" s="520"/>
    </row>
    <row r="5" spans="1:20" ht="24.95" customHeight="1" thickBot="1" x14ac:dyDescent="0.35">
      <c r="A5" s="525" t="s">
        <v>28</v>
      </c>
      <c r="B5" s="367">
        <v>285548.5</v>
      </c>
      <c r="C5" s="776">
        <v>170000</v>
      </c>
      <c r="D5" s="732">
        <v>115548.5</v>
      </c>
      <c r="E5" s="367">
        <v>0</v>
      </c>
      <c r="F5" s="776">
        <v>0</v>
      </c>
      <c r="G5" s="732">
        <v>0</v>
      </c>
      <c r="I5" s="525" t="s">
        <v>28</v>
      </c>
      <c r="J5" s="367">
        <v>309618.5</v>
      </c>
      <c r="K5" s="776">
        <v>194070</v>
      </c>
      <c r="L5" s="732">
        <v>115548.5</v>
      </c>
      <c r="N5" s="524"/>
      <c r="Q5" s="520"/>
    </row>
    <row r="6" spans="1:20" s="342" customFormat="1" ht="24.95" customHeight="1" thickTop="1" x14ac:dyDescent="0.3">
      <c r="A6" s="369" t="s">
        <v>7</v>
      </c>
      <c r="B6" s="370">
        <v>0</v>
      </c>
      <c r="C6" s="777">
        <v>0</v>
      </c>
      <c r="D6" s="733">
        <v>0</v>
      </c>
      <c r="E6" s="370">
        <v>0</v>
      </c>
      <c r="F6" s="777">
        <v>0</v>
      </c>
      <c r="G6" s="733">
        <v>0</v>
      </c>
      <c r="I6" s="369" t="s">
        <v>7</v>
      </c>
      <c r="J6" s="370">
        <v>0</v>
      </c>
      <c r="K6" s="777">
        <v>0</v>
      </c>
      <c r="L6" s="733">
        <v>0</v>
      </c>
      <c r="N6" s="379"/>
      <c r="O6" s="339"/>
      <c r="P6" s="339"/>
      <c r="Q6" s="339"/>
    </row>
    <row r="7" spans="1:20" ht="24.95" customHeight="1" x14ac:dyDescent="0.3">
      <c r="A7" s="398" t="s">
        <v>8</v>
      </c>
      <c r="B7" s="372">
        <v>0</v>
      </c>
      <c r="C7" s="778">
        <v>0</v>
      </c>
      <c r="D7" s="734">
        <v>0</v>
      </c>
      <c r="E7" s="372">
        <v>0</v>
      </c>
      <c r="F7" s="778">
        <v>0</v>
      </c>
      <c r="G7" s="734">
        <v>0</v>
      </c>
      <c r="I7" s="398" t="s">
        <v>8</v>
      </c>
      <c r="J7" s="372">
        <v>0</v>
      </c>
      <c r="K7" s="778">
        <v>0</v>
      </c>
      <c r="L7" s="734">
        <v>0</v>
      </c>
      <c r="N7" s="379"/>
    </row>
    <row r="8" spans="1:20" ht="24.95" customHeight="1" x14ac:dyDescent="0.3">
      <c r="A8" s="398" t="s">
        <v>306</v>
      </c>
      <c r="B8" s="372">
        <v>0</v>
      </c>
      <c r="C8" s="778">
        <v>0</v>
      </c>
      <c r="D8" s="734">
        <v>0</v>
      </c>
      <c r="E8" s="372">
        <v>0</v>
      </c>
      <c r="F8" s="778">
        <v>0</v>
      </c>
      <c r="G8" s="734">
        <v>0</v>
      </c>
      <c r="I8" s="398" t="s">
        <v>306</v>
      </c>
      <c r="J8" s="372">
        <v>0</v>
      </c>
      <c r="K8" s="778">
        <v>0</v>
      </c>
      <c r="L8" s="734">
        <v>0</v>
      </c>
      <c r="O8" s="342"/>
      <c r="Q8" s="342"/>
    </row>
    <row r="9" spans="1:20" ht="24.95" customHeight="1" x14ac:dyDescent="0.3">
      <c r="A9" s="372"/>
      <c r="B9" s="372"/>
      <c r="C9" s="778"/>
      <c r="D9" s="734"/>
      <c r="E9" s="372"/>
      <c r="F9" s="778"/>
      <c r="G9" s="734"/>
      <c r="I9" s="372"/>
      <c r="J9" s="372"/>
      <c r="K9" s="778"/>
      <c r="L9" s="734"/>
    </row>
    <row r="10" spans="1:20" s="342" customFormat="1" ht="24.95" customHeight="1" x14ac:dyDescent="0.3">
      <c r="A10" s="526" t="s">
        <v>9</v>
      </c>
      <c r="B10" s="375">
        <v>255000</v>
      </c>
      <c r="C10" s="779">
        <v>170000</v>
      </c>
      <c r="D10" s="735">
        <v>85000</v>
      </c>
      <c r="E10" s="375">
        <v>0</v>
      </c>
      <c r="F10" s="779">
        <v>0</v>
      </c>
      <c r="G10" s="735">
        <v>0</v>
      </c>
      <c r="I10" s="526" t="s">
        <v>9</v>
      </c>
      <c r="J10" s="375">
        <v>279070</v>
      </c>
      <c r="K10" s="779">
        <v>194070</v>
      </c>
      <c r="L10" s="735">
        <v>85000</v>
      </c>
      <c r="N10" s="339"/>
      <c r="O10" s="339"/>
      <c r="P10" s="339"/>
    </row>
    <row r="11" spans="1:20" ht="24.95" customHeight="1" x14ac:dyDescent="0.3">
      <c r="A11" s="372" t="s">
        <v>308</v>
      </c>
      <c r="B11" s="372">
        <v>0</v>
      </c>
      <c r="C11" s="778">
        <v>0</v>
      </c>
      <c r="D11" s="734">
        <v>0</v>
      </c>
      <c r="E11" s="372">
        <v>0</v>
      </c>
      <c r="F11" s="778">
        <v>0</v>
      </c>
      <c r="G11" s="734">
        <v>0</v>
      </c>
      <c r="I11" s="372" t="s">
        <v>308</v>
      </c>
      <c r="J11" s="372">
        <v>24070</v>
      </c>
      <c r="K11" s="778">
        <v>24070</v>
      </c>
      <c r="L11" s="734">
        <v>0</v>
      </c>
    </row>
    <row r="12" spans="1:20" ht="24.95" customHeight="1" x14ac:dyDescent="0.3">
      <c r="A12" s="372" t="s">
        <v>309</v>
      </c>
      <c r="B12" s="372">
        <v>0</v>
      </c>
      <c r="C12" s="778">
        <v>0</v>
      </c>
      <c r="D12" s="734">
        <v>0</v>
      </c>
      <c r="E12" s="372">
        <v>0</v>
      </c>
      <c r="F12" s="778">
        <v>0</v>
      </c>
      <c r="G12" s="734">
        <v>0</v>
      </c>
      <c r="I12" s="372" t="s">
        <v>309</v>
      </c>
      <c r="J12" s="372">
        <v>0</v>
      </c>
      <c r="K12" s="778">
        <v>0</v>
      </c>
      <c r="L12" s="734">
        <v>0</v>
      </c>
      <c r="N12" s="379"/>
      <c r="O12" s="342"/>
      <c r="P12" s="342"/>
    </row>
    <row r="13" spans="1:20" ht="24.95" customHeight="1" x14ac:dyDescent="0.3">
      <c r="A13" s="372" t="s">
        <v>310</v>
      </c>
      <c r="B13" s="372">
        <v>0</v>
      </c>
      <c r="C13" s="778">
        <v>0</v>
      </c>
      <c r="D13" s="734">
        <v>0</v>
      </c>
      <c r="E13" s="372">
        <v>0</v>
      </c>
      <c r="F13" s="778">
        <v>0</v>
      </c>
      <c r="G13" s="734">
        <v>0</v>
      </c>
      <c r="I13" s="372" t="s">
        <v>310</v>
      </c>
      <c r="J13" s="372">
        <v>0</v>
      </c>
      <c r="K13" s="778">
        <v>0</v>
      </c>
      <c r="L13" s="734">
        <v>0</v>
      </c>
      <c r="N13" s="379"/>
    </row>
    <row r="14" spans="1:20" ht="24.95" customHeight="1" x14ac:dyDescent="0.3">
      <c r="A14" s="372" t="s">
        <v>311</v>
      </c>
      <c r="B14" s="372">
        <v>0</v>
      </c>
      <c r="C14" s="778">
        <v>0</v>
      </c>
      <c r="D14" s="734">
        <v>0</v>
      </c>
      <c r="E14" s="372">
        <v>0</v>
      </c>
      <c r="F14" s="778">
        <v>0</v>
      </c>
      <c r="G14" s="734">
        <v>0</v>
      </c>
      <c r="I14" s="372" t="s">
        <v>311</v>
      </c>
      <c r="J14" s="372">
        <v>0</v>
      </c>
      <c r="K14" s="778">
        <v>0</v>
      </c>
      <c r="L14" s="734">
        <v>0</v>
      </c>
    </row>
    <row r="15" spans="1:20" ht="24.95" customHeight="1" x14ac:dyDescent="0.3">
      <c r="A15" s="372" t="s">
        <v>312</v>
      </c>
      <c r="B15" s="372">
        <v>255000</v>
      </c>
      <c r="C15" s="778">
        <v>170000</v>
      </c>
      <c r="D15" s="734">
        <v>85000</v>
      </c>
      <c r="E15" s="372">
        <v>0</v>
      </c>
      <c r="F15" s="778">
        <v>0</v>
      </c>
      <c r="G15" s="734">
        <v>0</v>
      </c>
      <c r="I15" s="372" t="s">
        <v>312</v>
      </c>
      <c r="J15" s="372">
        <v>255000</v>
      </c>
      <c r="K15" s="778">
        <v>170000</v>
      </c>
      <c r="L15" s="734">
        <v>85000</v>
      </c>
      <c r="N15" s="379"/>
    </row>
    <row r="16" spans="1:20" ht="24.95" customHeight="1" x14ac:dyDescent="0.3">
      <c r="A16" s="372" t="s">
        <v>313</v>
      </c>
      <c r="B16" s="372">
        <v>0</v>
      </c>
      <c r="C16" s="778">
        <v>0</v>
      </c>
      <c r="D16" s="734">
        <v>0</v>
      </c>
      <c r="E16" s="372">
        <v>0</v>
      </c>
      <c r="F16" s="778">
        <v>0</v>
      </c>
      <c r="G16" s="734">
        <v>0</v>
      </c>
      <c r="I16" s="372" t="s">
        <v>313</v>
      </c>
      <c r="J16" s="372">
        <v>0</v>
      </c>
      <c r="K16" s="778">
        <v>0</v>
      </c>
      <c r="L16" s="734">
        <v>0</v>
      </c>
    </row>
    <row r="17" spans="1:12" ht="24.95" customHeight="1" x14ac:dyDescent="0.3">
      <c r="A17" s="372" t="s">
        <v>314</v>
      </c>
      <c r="B17" s="372">
        <v>0</v>
      </c>
      <c r="C17" s="778">
        <v>0</v>
      </c>
      <c r="D17" s="734">
        <v>0</v>
      </c>
      <c r="E17" s="372">
        <v>0</v>
      </c>
      <c r="F17" s="778">
        <v>0</v>
      </c>
      <c r="G17" s="734">
        <v>0</v>
      </c>
      <c r="I17" s="372" t="s">
        <v>314</v>
      </c>
      <c r="J17" s="372">
        <v>0</v>
      </c>
      <c r="K17" s="778">
        <v>0</v>
      </c>
      <c r="L17" s="734">
        <v>0</v>
      </c>
    </row>
    <row r="18" spans="1:12" ht="24.95" customHeight="1" x14ac:dyDescent="0.3">
      <c r="A18" s="372" t="s">
        <v>315</v>
      </c>
      <c r="B18" s="372">
        <v>0</v>
      </c>
      <c r="C18" s="778">
        <v>0</v>
      </c>
      <c r="D18" s="734">
        <v>0</v>
      </c>
      <c r="E18" s="372">
        <v>0</v>
      </c>
      <c r="F18" s="778">
        <v>0</v>
      </c>
      <c r="G18" s="734">
        <v>0</v>
      </c>
      <c r="I18" s="372" t="s">
        <v>315</v>
      </c>
      <c r="J18" s="372">
        <v>0</v>
      </c>
      <c r="K18" s="778">
        <v>0</v>
      </c>
      <c r="L18" s="734">
        <v>0</v>
      </c>
    </row>
    <row r="19" spans="1:12" ht="24.95" customHeight="1" x14ac:dyDescent="0.3">
      <c r="A19" s="372" t="s">
        <v>390</v>
      </c>
      <c r="B19" s="372">
        <v>0</v>
      </c>
      <c r="C19" s="778"/>
      <c r="D19" s="734">
        <v>0</v>
      </c>
      <c r="E19" s="372">
        <v>0</v>
      </c>
      <c r="F19" s="778">
        <v>0</v>
      </c>
      <c r="G19" s="734">
        <v>0</v>
      </c>
      <c r="I19" s="372" t="s">
        <v>390</v>
      </c>
      <c r="J19" s="372">
        <v>0</v>
      </c>
      <c r="K19" s="778">
        <v>0</v>
      </c>
      <c r="L19" s="734">
        <v>0</v>
      </c>
    </row>
    <row r="20" spans="1:12" s="342" customFormat="1" ht="24.95" customHeight="1" x14ac:dyDescent="0.3">
      <c r="A20" s="526" t="s">
        <v>12</v>
      </c>
      <c r="B20" s="375">
        <v>30548.5</v>
      </c>
      <c r="C20" s="779">
        <v>0</v>
      </c>
      <c r="D20" s="735">
        <v>30548.5</v>
      </c>
      <c r="E20" s="375">
        <v>0</v>
      </c>
      <c r="F20" s="779">
        <v>0</v>
      </c>
      <c r="G20" s="735">
        <v>0</v>
      </c>
      <c r="I20" s="526" t="s">
        <v>12</v>
      </c>
      <c r="J20" s="375">
        <v>30548.5</v>
      </c>
      <c r="K20" s="779">
        <v>0</v>
      </c>
      <c r="L20" s="735">
        <v>30548.5</v>
      </c>
    </row>
    <row r="21" spans="1:12" ht="24.95" customHeight="1" x14ac:dyDescent="0.3">
      <c r="A21" s="372" t="s">
        <v>391</v>
      </c>
      <c r="B21" s="372">
        <v>0</v>
      </c>
      <c r="C21" s="778">
        <v>0</v>
      </c>
      <c r="D21" s="734">
        <v>0</v>
      </c>
      <c r="E21" s="372">
        <v>0</v>
      </c>
      <c r="F21" s="778">
        <v>0</v>
      </c>
      <c r="G21" s="734">
        <v>0</v>
      </c>
      <c r="I21" s="372" t="s">
        <v>391</v>
      </c>
      <c r="J21" s="372">
        <v>0</v>
      </c>
      <c r="K21" s="778">
        <v>0</v>
      </c>
      <c r="L21" s="734">
        <v>0</v>
      </c>
    </row>
    <row r="22" spans="1:12" ht="24.95" customHeight="1" x14ac:dyDescent="0.3">
      <c r="A22" s="372" t="s">
        <v>392</v>
      </c>
      <c r="B22" s="372">
        <v>0</v>
      </c>
      <c r="C22" s="778">
        <v>0</v>
      </c>
      <c r="D22" s="734">
        <v>0</v>
      </c>
      <c r="E22" s="372">
        <v>0</v>
      </c>
      <c r="F22" s="778">
        <v>0</v>
      </c>
      <c r="G22" s="734">
        <v>0</v>
      </c>
      <c r="I22" s="372" t="s">
        <v>392</v>
      </c>
      <c r="J22" s="372">
        <v>0</v>
      </c>
      <c r="K22" s="778">
        <v>0</v>
      </c>
      <c r="L22" s="734">
        <v>0</v>
      </c>
    </row>
    <row r="23" spans="1:12" ht="24.95" customHeight="1" x14ac:dyDescent="0.3">
      <c r="A23" s="372" t="s">
        <v>393</v>
      </c>
      <c r="B23" s="372">
        <v>0</v>
      </c>
      <c r="C23" s="778">
        <v>0</v>
      </c>
      <c r="D23" s="734">
        <v>0</v>
      </c>
      <c r="E23" s="372">
        <v>0</v>
      </c>
      <c r="F23" s="778">
        <v>0</v>
      </c>
      <c r="G23" s="734">
        <v>0</v>
      </c>
      <c r="I23" s="372" t="s">
        <v>393</v>
      </c>
      <c r="J23" s="372">
        <v>0</v>
      </c>
      <c r="K23" s="778">
        <v>0</v>
      </c>
      <c r="L23" s="734">
        <v>0</v>
      </c>
    </row>
    <row r="24" spans="1:12" ht="24.95" customHeight="1" x14ac:dyDescent="0.3">
      <c r="A24" s="372" t="s">
        <v>394</v>
      </c>
      <c r="B24" s="372">
        <v>30548.5</v>
      </c>
      <c r="C24" s="778">
        <v>0</v>
      </c>
      <c r="D24" s="734">
        <v>30548.5</v>
      </c>
      <c r="E24" s="372">
        <v>0</v>
      </c>
      <c r="F24" s="778">
        <v>0</v>
      </c>
      <c r="G24" s="734">
        <v>0</v>
      </c>
      <c r="I24" s="372" t="s">
        <v>394</v>
      </c>
      <c r="J24" s="372">
        <v>30548.5</v>
      </c>
      <c r="K24" s="778">
        <v>0</v>
      </c>
      <c r="L24" s="734">
        <v>30548.5</v>
      </c>
    </row>
    <row r="25" spans="1:12" ht="24.95" customHeight="1" x14ac:dyDescent="0.3">
      <c r="A25" s="377"/>
      <c r="B25" s="377"/>
      <c r="C25" s="780"/>
      <c r="D25" s="736"/>
      <c r="E25" s="377"/>
      <c r="F25" s="780"/>
      <c r="G25" s="736"/>
      <c r="I25" s="377"/>
      <c r="J25" s="377"/>
      <c r="K25" s="780"/>
      <c r="L25" s="736"/>
    </row>
    <row r="37" spans="1:7" x14ac:dyDescent="0.3">
      <c r="A37" s="3516" t="s">
        <v>0</v>
      </c>
      <c r="B37" s="3515" t="s">
        <v>1</v>
      </c>
      <c r="C37" s="3515"/>
      <c r="D37" s="3515"/>
      <c r="E37" s="3515" t="s">
        <v>3</v>
      </c>
      <c r="F37" s="3515"/>
      <c r="G37" s="3515"/>
    </row>
    <row r="38" spans="1:7" x14ac:dyDescent="0.3">
      <c r="A38" s="3517"/>
      <c r="B38" s="380" t="s">
        <v>28</v>
      </c>
      <c r="C38" s="775" t="s">
        <v>34</v>
      </c>
      <c r="D38" s="731" t="s">
        <v>62</v>
      </c>
      <c r="E38" s="380" t="s">
        <v>28</v>
      </c>
      <c r="F38" s="775" t="s">
        <v>34</v>
      </c>
      <c r="G38" s="731" t="s">
        <v>62</v>
      </c>
    </row>
    <row r="39" spans="1:7" ht="19.5" thickBot="1" x14ac:dyDescent="0.35">
      <c r="A39" s="525" t="s">
        <v>28</v>
      </c>
      <c r="B39" s="367">
        <v>24070</v>
      </c>
      <c r="C39" s="776">
        <v>24070</v>
      </c>
      <c r="D39" s="737">
        <v>0</v>
      </c>
      <c r="E39" s="367">
        <v>0</v>
      </c>
      <c r="F39" s="776">
        <v>0</v>
      </c>
      <c r="G39" s="732">
        <v>0</v>
      </c>
    </row>
    <row r="40" spans="1:7" ht="19.5" thickTop="1" x14ac:dyDescent="0.3">
      <c r="A40" s="369" t="s">
        <v>7</v>
      </c>
      <c r="B40" s="370">
        <v>0</v>
      </c>
      <c r="C40" s="777">
        <v>0</v>
      </c>
      <c r="D40" s="733">
        <v>0</v>
      </c>
      <c r="E40" s="370">
        <v>0</v>
      </c>
      <c r="F40" s="777">
        <v>0</v>
      </c>
      <c r="G40" s="733">
        <v>0</v>
      </c>
    </row>
    <row r="41" spans="1:7" x14ac:dyDescent="0.3">
      <c r="A41" s="398" t="s">
        <v>8</v>
      </c>
      <c r="B41" s="372">
        <v>0</v>
      </c>
      <c r="C41" s="778">
        <v>0</v>
      </c>
      <c r="D41" s="734">
        <v>0</v>
      </c>
      <c r="E41" s="372">
        <v>0</v>
      </c>
      <c r="F41" s="778">
        <v>0</v>
      </c>
      <c r="G41" s="734">
        <v>0</v>
      </c>
    </row>
    <row r="42" spans="1:7" x14ac:dyDescent="0.3">
      <c r="A42" s="398" t="s">
        <v>306</v>
      </c>
      <c r="B42" s="372">
        <v>0</v>
      </c>
      <c r="C42" s="778">
        <v>0</v>
      </c>
      <c r="D42" s="734">
        <v>0</v>
      </c>
      <c r="E42" s="372">
        <v>0</v>
      </c>
      <c r="F42" s="778">
        <v>0</v>
      </c>
      <c r="G42" s="734">
        <v>0</v>
      </c>
    </row>
    <row r="43" spans="1:7" x14ac:dyDescent="0.3">
      <c r="A43" s="372"/>
      <c r="B43" s="372"/>
      <c r="C43" s="778"/>
      <c r="D43" s="734"/>
      <c r="E43" s="372"/>
      <c r="F43" s="778"/>
      <c r="G43" s="734"/>
    </row>
    <row r="44" spans="1:7" x14ac:dyDescent="0.3">
      <c r="A44" s="526" t="s">
        <v>9</v>
      </c>
      <c r="B44" s="375">
        <v>24070</v>
      </c>
      <c r="C44" s="779">
        <v>24070</v>
      </c>
      <c r="D44" s="735">
        <v>0</v>
      </c>
      <c r="E44" s="375">
        <v>0</v>
      </c>
      <c r="F44" s="779">
        <v>0</v>
      </c>
      <c r="G44" s="735">
        <v>0</v>
      </c>
    </row>
    <row r="45" spans="1:7" x14ac:dyDescent="0.3">
      <c r="A45" s="372" t="s">
        <v>308</v>
      </c>
      <c r="B45" s="372">
        <v>24070</v>
      </c>
      <c r="C45" s="778">
        <v>24070</v>
      </c>
      <c r="D45" s="734">
        <v>0</v>
      </c>
      <c r="E45" s="372">
        <v>0</v>
      </c>
      <c r="F45" s="778">
        <v>0</v>
      </c>
      <c r="G45" s="734">
        <v>0</v>
      </c>
    </row>
    <row r="46" spans="1:7" x14ac:dyDescent="0.3">
      <c r="A46" s="372" t="s">
        <v>309</v>
      </c>
      <c r="B46" s="372">
        <v>0</v>
      </c>
      <c r="C46" s="778">
        <v>0</v>
      </c>
      <c r="D46" s="734">
        <v>0</v>
      </c>
      <c r="E46" s="372">
        <v>0</v>
      </c>
      <c r="F46" s="778">
        <v>0</v>
      </c>
      <c r="G46" s="734">
        <v>0</v>
      </c>
    </row>
    <row r="47" spans="1:7" x14ac:dyDescent="0.3">
      <c r="A47" s="372" t="s">
        <v>310</v>
      </c>
      <c r="B47" s="372">
        <v>0</v>
      </c>
      <c r="C47" s="778">
        <v>0</v>
      </c>
      <c r="D47" s="734">
        <v>0</v>
      </c>
      <c r="E47" s="372">
        <v>0</v>
      </c>
      <c r="F47" s="778">
        <v>0</v>
      </c>
      <c r="G47" s="734">
        <v>0</v>
      </c>
    </row>
    <row r="48" spans="1:7" x14ac:dyDescent="0.3">
      <c r="A48" s="372" t="s">
        <v>311</v>
      </c>
      <c r="B48" s="372">
        <v>0</v>
      </c>
      <c r="C48" s="778">
        <v>0</v>
      </c>
      <c r="D48" s="734">
        <v>0</v>
      </c>
      <c r="E48" s="372">
        <v>0</v>
      </c>
      <c r="F48" s="778">
        <v>0</v>
      </c>
      <c r="G48" s="734">
        <v>0</v>
      </c>
    </row>
    <row r="49" spans="1:7" x14ac:dyDescent="0.3">
      <c r="A49" s="372" t="s">
        <v>312</v>
      </c>
      <c r="B49" s="372">
        <v>0</v>
      </c>
      <c r="C49" s="778">
        <v>0</v>
      </c>
      <c r="D49" s="734">
        <v>0</v>
      </c>
      <c r="E49" s="372">
        <v>0</v>
      </c>
      <c r="F49" s="778">
        <v>0</v>
      </c>
      <c r="G49" s="734">
        <v>0</v>
      </c>
    </row>
    <row r="50" spans="1:7" x14ac:dyDescent="0.3">
      <c r="A50" s="372" t="s">
        <v>313</v>
      </c>
      <c r="B50" s="372">
        <v>0</v>
      </c>
      <c r="C50" s="778">
        <v>0</v>
      </c>
      <c r="D50" s="734">
        <v>0</v>
      </c>
      <c r="E50" s="372">
        <v>0</v>
      </c>
      <c r="F50" s="2224">
        <v>0</v>
      </c>
      <c r="G50" s="734">
        <v>0</v>
      </c>
    </row>
    <row r="51" spans="1:7" x14ac:dyDescent="0.3">
      <c r="A51" s="372" t="s">
        <v>314</v>
      </c>
      <c r="B51" s="372">
        <v>0</v>
      </c>
      <c r="C51" s="778">
        <v>0</v>
      </c>
      <c r="D51" s="734">
        <v>0</v>
      </c>
      <c r="E51" s="372">
        <v>0</v>
      </c>
      <c r="F51" s="2224">
        <v>0</v>
      </c>
      <c r="G51" s="734">
        <v>0</v>
      </c>
    </row>
    <row r="52" spans="1:7" x14ac:dyDescent="0.3">
      <c r="A52" s="372" t="s">
        <v>315</v>
      </c>
      <c r="B52" s="372">
        <v>0</v>
      </c>
      <c r="C52" s="778">
        <v>0</v>
      </c>
      <c r="D52" s="734">
        <v>0</v>
      </c>
      <c r="E52" s="372">
        <v>0</v>
      </c>
      <c r="F52" s="2224">
        <v>0</v>
      </c>
      <c r="G52" s="734">
        <v>0</v>
      </c>
    </row>
    <row r="53" spans="1:7" x14ac:dyDescent="0.3">
      <c r="A53" s="372" t="s">
        <v>390</v>
      </c>
      <c r="B53" s="372">
        <v>0</v>
      </c>
      <c r="C53" s="778">
        <v>0</v>
      </c>
      <c r="D53" s="734">
        <v>0</v>
      </c>
      <c r="E53" s="372">
        <v>0</v>
      </c>
      <c r="F53" s="2224">
        <v>0</v>
      </c>
      <c r="G53" s="734">
        <v>0</v>
      </c>
    </row>
    <row r="54" spans="1:7" x14ac:dyDescent="0.3">
      <c r="A54" s="526" t="s">
        <v>12</v>
      </c>
      <c r="B54" s="375">
        <v>0</v>
      </c>
      <c r="C54" s="779">
        <v>0</v>
      </c>
      <c r="D54" s="735">
        <v>0</v>
      </c>
      <c r="E54" s="377">
        <v>0</v>
      </c>
      <c r="F54" s="2223">
        <v>0</v>
      </c>
      <c r="G54" s="735">
        <v>0</v>
      </c>
    </row>
    <row r="55" spans="1:7" x14ac:dyDescent="0.3">
      <c r="A55" s="372" t="s">
        <v>391</v>
      </c>
      <c r="B55" s="372">
        <v>0</v>
      </c>
      <c r="C55" s="778">
        <v>0</v>
      </c>
      <c r="D55" s="734">
        <v>0</v>
      </c>
      <c r="E55" s="372">
        <v>0</v>
      </c>
      <c r="F55" s="2224">
        <v>0</v>
      </c>
      <c r="G55" s="734">
        <v>0</v>
      </c>
    </row>
    <row r="56" spans="1:7" x14ac:dyDescent="0.3">
      <c r="A56" s="372" t="s">
        <v>392</v>
      </c>
      <c r="B56" s="372">
        <v>0</v>
      </c>
      <c r="C56" s="778">
        <v>0</v>
      </c>
      <c r="D56" s="734">
        <v>0</v>
      </c>
      <c r="E56" s="372">
        <v>0</v>
      </c>
      <c r="F56" s="2224">
        <v>0</v>
      </c>
      <c r="G56" s="2227">
        <v>0</v>
      </c>
    </row>
    <row r="57" spans="1:7" x14ac:dyDescent="0.3">
      <c r="A57" s="372" t="s">
        <v>393</v>
      </c>
      <c r="B57" s="372">
        <v>0</v>
      </c>
      <c r="C57" s="778">
        <v>0</v>
      </c>
      <c r="D57" s="734">
        <v>0</v>
      </c>
      <c r="E57" s="372">
        <v>0</v>
      </c>
      <c r="F57" s="2224">
        <v>0</v>
      </c>
      <c r="G57" s="2227">
        <v>0</v>
      </c>
    </row>
    <row r="58" spans="1:7" x14ac:dyDescent="0.3">
      <c r="A58" s="372" t="s">
        <v>394</v>
      </c>
      <c r="B58" s="372">
        <v>0</v>
      </c>
      <c r="C58" s="778">
        <v>0</v>
      </c>
      <c r="D58" s="734">
        <v>0</v>
      </c>
      <c r="E58" s="372">
        <v>0</v>
      </c>
      <c r="F58" s="2224">
        <v>0</v>
      </c>
      <c r="G58" s="2227">
        <v>0</v>
      </c>
    </row>
    <row r="59" spans="1:7" x14ac:dyDescent="0.3">
      <c r="A59" s="377"/>
      <c r="B59" s="377"/>
      <c r="C59" s="780"/>
      <c r="D59" s="736"/>
      <c r="E59" s="377"/>
      <c r="F59" s="2225"/>
      <c r="G59" s="2226"/>
    </row>
    <row r="74" spans="1:7" x14ac:dyDescent="0.3">
      <c r="A74" s="3516" t="s">
        <v>0</v>
      </c>
      <c r="B74" s="3515" t="s">
        <v>24</v>
      </c>
      <c r="C74" s="3515"/>
      <c r="D74" s="3515"/>
      <c r="E74" s="3515" t="s">
        <v>23</v>
      </c>
      <c r="F74" s="3515"/>
      <c r="G74" s="3515"/>
    </row>
    <row r="75" spans="1:7" x14ac:dyDescent="0.3">
      <c r="A75" s="3517"/>
      <c r="B75" s="380" t="s">
        <v>28</v>
      </c>
      <c r="C75" s="775" t="s">
        <v>34</v>
      </c>
      <c r="D75" s="731" t="s">
        <v>62</v>
      </c>
      <c r="E75" s="380" t="s">
        <v>28</v>
      </c>
      <c r="F75" s="775" t="s">
        <v>34</v>
      </c>
      <c r="G75" s="731" t="s">
        <v>62</v>
      </c>
    </row>
    <row r="76" spans="1:7" ht="19.5" thickBot="1" x14ac:dyDescent="0.35">
      <c r="A76" s="525" t="s">
        <v>28</v>
      </c>
      <c r="B76" s="367">
        <v>0</v>
      </c>
      <c r="C76" s="776">
        <v>0</v>
      </c>
      <c r="D76" s="732">
        <v>0</v>
      </c>
      <c r="E76" s="367">
        <v>0</v>
      </c>
      <c r="F76" s="776">
        <v>0</v>
      </c>
      <c r="G76" s="732">
        <v>0</v>
      </c>
    </row>
    <row r="77" spans="1:7" ht="19.5" thickTop="1" x14ac:dyDescent="0.3">
      <c r="A77" s="369" t="s">
        <v>7</v>
      </c>
      <c r="B77" s="370">
        <v>0</v>
      </c>
      <c r="C77" s="777">
        <v>0</v>
      </c>
      <c r="D77" s="733">
        <v>0</v>
      </c>
      <c r="E77" s="370">
        <v>0</v>
      </c>
      <c r="F77" s="777">
        <v>0</v>
      </c>
      <c r="G77" s="733">
        <v>0</v>
      </c>
    </row>
    <row r="78" spans="1:7" x14ac:dyDescent="0.3">
      <c r="A78" s="398" t="s">
        <v>8</v>
      </c>
      <c r="B78" s="372">
        <v>0</v>
      </c>
      <c r="C78" s="778"/>
      <c r="D78" s="734"/>
      <c r="E78" s="372">
        <v>0</v>
      </c>
      <c r="F78" s="778"/>
      <c r="G78" s="734"/>
    </row>
    <row r="79" spans="1:7" x14ac:dyDescent="0.3">
      <c r="A79" s="398" t="s">
        <v>306</v>
      </c>
      <c r="B79" s="372">
        <v>0</v>
      </c>
      <c r="C79" s="778"/>
      <c r="D79" s="734"/>
      <c r="E79" s="372">
        <v>0</v>
      </c>
      <c r="F79" s="778"/>
      <c r="G79" s="734"/>
    </row>
    <row r="80" spans="1:7" x14ac:dyDescent="0.3">
      <c r="A80" s="372"/>
      <c r="B80" s="372"/>
      <c r="C80" s="778"/>
      <c r="D80" s="734"/>
      <c r="E80" s="372"/>
      <c r="F80" s="778"/>
      <c r="G80" s="734"/>
    </row>
    <row r="81" spans="1:7" x14ac:dyDescent="0.3">
      <c r="A81" s="526" t="s">
        <v>9</v>
      </c>
      <c r="B81" s="375">
        <v>0</v>
      </c>
      <c r="C81" s="779">
        <v>0</v>
      </c>
      <c r="D81" s="735">
        <v>0</v>
      </c>
      <c r="E81" s="375">
        <v>0</v>
      </c>
      <c r="F81" s="779">
        <v>0</v>
      </c>
      <c r="G81" s="735">
        <v>0</v>
      </c>
    </row>
    <row r="82" spans="1:7" x14ac:dyDescent="0.3">
      <c r="A82" s="372" t="s">
        <v>308</v>
      </c>
      <c r="B82" s="372">
        <v>0</v>
      </c>
      <c r="C82" s="778"/>
      <c r="D82" s="734"/>
      <c r="E82" s="372">
        <v>0</v>
      </c>
      <c r="F82" s="778"/>
      <c r="G82" s="734"/>
    </row>
    <row r="83" spans="1:7" x14ac:dyDescent="0.3">
      <c r="A83" s="372" t="s">
        <v>309</v>
      </c>
      <c r="B83" s="372">
        <v>0</v>
      </c>
      <c r="C83" s="778"/>
      <c r="D83" s="734"/>
      <c r="E83" s="372">
        <v>0</v>
      </c>
      <c r="F83" s="778"/>
      <c r="G83" s="734"/>
    </row>
    <row r="84" spans="1:7" x14ac:dyDescent="0.3">
      <c r="A84" s="372" t="s">
        <v>310</v>
      </c>
      <c r="B84" s="372">
        <v>0</v>
      </c>
      <c r="C84" s="778"/>
      <c r="D84" s="734"/>
      <c r="E84" s="372">
        <v>0</v>
      </c>
      <c r="F84" s="778"/>
      <c r="G84" s="734"/>
    </row>
    <row r="85" spans="1:7" x14ac:dyDescent="0.3">
      <c r="A85" s="372" t="s">
        <v>311</v>
      </c>
      <c r="B85" s="372">
        <v>0</v>
      </c>
      <c r="C85" s="778"/>
      <c r="D85" s="734"/>
      <c r="E85" s="372">
        <v>0</v>
      </c>
      <c r="F85" s="778"/>
      <c r="G85" s="734"/>
    </row>
    <row r="86" spans="1:7" x14ac:dyDescent="0.3">
      <c r="A86" s="372" t="s">
        <v>312</v>
      </c>
      <c r="B86" s="372">
        <v>0</v>
      </c>
      <c r="C86" s="778"/>
      <c r="D86" s="734"/>
      <c r="E86" s="372">
        <v>0</v>
      </c>
      <c r="F86" s="778"/>
      <c r="G86" s="734"/>
    </row>
    <row r="87" spans="1:7" x14ac:dyDescent="0.3">
      <c r="A87" s="372" t="s">
        <v>313</v>
      </c>
      <c r="B87" s="372">
        <v>0</v>
      </c>
      <c r="C87" s="778"/>
      <c r="D87" s="734"/>
      <c r="E87" s="372">
        <v>0</v>
      </c>
      <c r="F87" s="778"/>
      <c r="G87" s="734"/>
    </row>
    <row r="88" spans="1:7" x14ac:dyDescent="0.3">
      <c r="A88" s="372" t="s">
        <v>314</v>
      </c>
      <c r="B88" s="372"/>
      <c r="C88" s="778"/>
      <c r="D88" s="734"/>
      <c r="E88" s="372"/>
      <c r="F88" s="778"/>
      <c r="G88" s="734"/>
    </row>
    <row r="89" spans="1:7" x14ac:dyDescent="0.3">
      <c r="A89" s="372" t="s">
        <v>315</v>
      </c>
      <c r="B89" s="372"/>
      <c r="C89" s="778"/>
      <c r="D89" s="734"/>
      <c r="E89" s="372"/>
      <c r="F89" s="778"/>
      <c r="G89" s="734"/>
    </row>
    <row r="90" spans="1:7" x14ac:dyDescent="0.3">
      <c r="A90" s="372" t="s">
        <v>390</v>
      </c>
      <c r="B90" s="372"/>
      <c r="C90" s="778"/>
      <c r="D90" s="734"/>
      <c r="E90" s="372"/>
      <c r="F90" s="778"/>
      <c r="G90" s="734"/>
    </row>
    <row r="91" spans="1:7" x14ac:dyDescent="0.3">
      <c r="A91" s="526" t="s">
        <v>12</v>
      </c>
      <c r="B91" s="375">
        <v>0</v>
      </c>
      <c r="C91" s="779">
        <v>0</v>
      </c>
      <c r="D91" s="735">
        <v>0</v>
      </c>
      <c r="E91" s="375">
        <v>0</v>
      </c>
      <c r="F91" s="779">
        <v>0</v>
      </c>
      <c r="G91" s="735">
        <v>0</v>
      </c>
    </row>
    <row r="92" spans="1:7" x14ac:dyDescent="0.3">
      <c r="A92" s="372" t="s">
        <v>391</v>
      </c>
      <c r="B92" s="372">
        <v>0</v>
      </c>
      <c r="C92" s="778"/>
      <c r="D92" s="734"/>
      <c r="E92" s="372">
        <v>0</v>
      </c>
      <c r="F92" s="778"/>
      <c r="G92" s="734"/>
    </row>
    <row r="93" spans="1:7" x14ac:dyDescent="0.3">
      <c r="A93" s="372" t="s">
        <v>392</v>
      </c>
      <c r="B93" s="372">
        <v>0</v>
      </c>
      <c r="C93" s="778"/>
      <c r="D93" s="734"/>
      <c r="E93" s="372">
        <v>0</v>
      </c>
      <c r="F93" s="778"/>
      <c r="G93" s="734"/>
    </row>
    <row r="94" spans="1:7" x14ac:dyDescent="0.3">
      <c r="A94" s="372" t="s">
        <v>393</v>
      </c>
      <c r="B94" s="372">
        <v>0</v>
      </c>
      <c r="C94" s="778"/>
      <c r="D94" s="734"/>
      <c r="E94" s="372">
        <v>0</v>
      </c>
      <c r="F94" s="778"/>
      <c r="G94" s="734"/>
    </row>
    <row r="95" spans="1:7" x14ac:dyDescent="0.3">
      <c r="A95" s="372" t="s">
        <v>394</v>
      </c>
      <c r="B95" s="372">
        <v>0</v>
      </c>
      <c r="C95" s="778"/>
      <c r="D95" s="734"/>
      <c r="E95" s="372">
        <v>0</v>
      </c>
      <c r="F95" s="778"/>
      <c r="G95" s="734"/>
    </row>
    <row r="96" spans="1:7" x14ac:dyDescent="0.3">
      <c r="A96" s="377"/>
      <c r="B96" s="377"/>
      <c r="C96" s="780"/>
      <c r="D96" s="736"/>
      <c r="E96" s="377"/>
      <c r="F96" s="780"/>
      <c r="G96" s="736"/>
    </row>
    <row r="111" spans="1:7" x14ac:dyDescent="0.3">
      <c r="A111" s="3516" t="s">
        <v>0</v>
      </c>
      <c r="B111" s="3515" t="s">
        <v>4</v>
      </c>
      <c r="C111" s="3515"/>
      <c r="D111" s="3515"/>
      <c r="E111" s="3515" t="s">
        <v>20</v>
      </c>
      <c r="F111" s="3515"/>
      <c r="G111" s="3515"/>
    </row>
    <row r="112" spans="1:7" x14ac:dyDescent="0.3">
      <c r="A112" s="3517"/>
      <c r="B112" s="380" t="s">
        <v>28</v>
      </c>
      <c r="C112" s="775" t="s">
        <v>34</v>
      </c>
      <c r="D112" s="731" t="s">
        <v>62</v>
      </c>
      <c r="E112" s="380" t="s">
        <v>28</v>
      </c>
      <c r="F112" s="775" t="s">
        <v>34</v>
      </c>
      <c r="G112" s="731" t="s">
        <v>62</v>
      </c>
    </row>
    <row r="113" spans="1:7" ht="19.5" thickBot="1" x14ac:dyDescent="0.35">
      <c r="A113" s="525" t="s">
        <v>28</v>
      </c>
      <c r="B113" s="367">
        <v>0</v>
      </c>
      <c r="C113" s="776">
        <v>0</v>
      </c>
      <c r="D113" s="732">
        <v>0</v>
      </c>
      <c r="E113" s="367">
        <v>0</v>
      </c>
      <c r="F113" s="776">
        <v>0</v>
      </c>
      <c r="G113" s="732">
        <v>0</v>
      </c>
    </row>
    <row r="114" spans="1:7" ht="19.5" thickTop="1" x14ac:dyDescent="0.3">
      <c r="A114" s="369" t="s">
        <v>7</v>
      </c>
      <c r="B114" s="370">
        <v>0</v>
      </c>
      <c r="C114" s="777">
        <v>0</v>
      </c>
      <c r="D114" s="733">
        <v>0</v>
      </c>
      <c r="E114" s="370">
        <v>0</v>
      </c>
      <c r="F114" s="777">
        <v>0</v>
      </c>
      <c r="G114" s="733">
        <v>0</v>
      </c>
    </row>
    <row r="115" spans="1:7" x14ac:dyDescent="0.3">
      <c r="A115" s="398" t="s">
        <v>8</v>
      </c>
      <c r="B115" s="372">
        <v>0</v>
      </c>
      <c r="C115" s="778"/>
      <c r="D115" s="734"/>
      <c r="E115" s="372">
        <v>0</v>
      </c>
      <c r="F115" s="778"/>
      <c r="G115" s="734"/>
    </row>
    <row r="116" spans="1:7" x14ac:dyDescent="0.3">
      <c r="A116" s="398" t="s">
        <v>306</v>
      </c>
      <c r="B116" s="372">
        <v>0</v>
      </c>
      <c r="C116" s="778"/>
      <c r="D116" s="734"/>
      <c r="E116" s="372">
        <v>0</v>
      </c>
      <c r="F116" s="778"/>
      <c r="G116" s="734"/>
    </row>
    <row r="117" spans="1:7" x14ac:dyDescent="0.3">
      <c r="A117" s="372"/>
      <c r="B117" s="372"/>
      <c r="C117" s="778"/>
      <c r="D117" s="734"/>
      <c r="E117" s="372"/>
      <c r="F117" s="778"/>
      <c r="G117" s="734"/>
    </row>
    <row r="118" spans="1:7" x14ac:dyDescent="0.3">
      <c r="A118" s="526" t="s">
        <v>9</v>
      </c>
      <c r="B118" s="375">
        <v>0</v>
      </c>
      <c r="C118" s="779">
        <v>0</v>
      </c>
      <c r="D118" s="735">
        <v>0</v>
      </c>
      <c r="E118" s="375">
        <v>0</v>
      </c>
      <c r="F118" s="779">
        <v>0</v>
      </c>
      <c r="G118" s="735">
        <v>0</v>
      </c>
    </row>
    <row r="119" spans="1:7" x14ac:dyDescent="0.3">
      <c r="A119" s="372" t="s">
        <v>308</v>
      </c>
      <c r="B119" s="372">
        <v>0</v>
      </c>
      <c r="C119" s="778"/>
      <c r="D119" s="734"/>
      <c r="E119" s="372">
        <v>0</v>
      </c>
      <c r="F119" s="778"/>
      <c r="G119" s="734"/>
    </row>
    <row r="120" spans="1:7" x14ac:dyDescent="0.3">
      <c r="A120" s="372" t="s">
        <v>309</v>
      </c>
      <c r="B120" s="372">
        <v>0</v>
      </c>
      <c r="C120" s="778"/>
      <c r="D120" s="734"/>
      <c r="E120" s="372">
        <v>0</v>
      </c>
      <c r="F120" s="778"/>
      <c r="G120" s="734"/>
    </row>
    <row r="121" spans="1:7" x14ac:dyDescent="0.3">
      <c r="A121" s="372" t="s">
        <v>310</v>
      </c>
      <c r="B121" s="372">
        <v>0</v>
      </c>
      <c r="C121" s="778"/>
      <c r="D121" s="734"/>
      <c r="E121" s="372">
        <v>0</v>
      </c>
      <c r="F121" s="778"/>
      <c r="G121" s="734"/>
    </row>
    <row r="122" spans="1:7" x14ac:dyDescent="0.3">
      <c r="A122" s="372" t="s">
        <v>311</v>
      </c>
      <c r="B122" s="372">
        <v>0</v>
      </c>
      <c r="C122" s="778"/>
      <c r="D122" s="734"/>
      <c r="E122" s="372">
        <v>0</v>
      </c>
      <c r="F122" s="778"/>
      <c r="G122" s="734"/>
    </row>
    <row r="123" spans="1:7" x14ac:dyDescent="0.3">
      <c r="A123" s="372" t="s">
        <v>312</v>
      </c>
      <c r="B123" s="372">
        <v>0</v>
      </c>
      <c r="C123" s="778"/>
      <c r="D123" s="734"/>
      <c r="E123" s="372">
        <v>0</v>
      </c>
      <c r="F123" s="778"/>
      <c r="G123" s="734"/>
    </row>
    <row r="124" spans="1:7" x14ac:dyDescent="0.3">
      <c r="A124" s="372" t="s">
        <v>313</v>
      </c>
      <c r="B124" s="372">
        <v>0</v>
      </c>
      <c r="C124" s="778"/>
      <c r="D124" s="734"/>
      <c r="E124" s="372">
        <v>0</v>
      </c>
      <c r="F124" s="778"/>
      <c r="G124" s="734"/>
    </row>
    <row r="125" spans="1:7" x14ac:dyDescent="0.3">
      <c r="A125" s="372" t="s">
        <v>314</v>
      </c>
      <c r="B125" s="372">
        <v>0</v>
      </c>
      <c r="C125" s="778"/>
      <c r="D125" s="734"/>
      <c r="E125" s="372">
        <v>0</v>
      </c>
      <c r="F125" s="778"/>
      <c r="G125" s="734"/>
    </row>
    <row r="126" spans="1:7" x14ac:dyDescent="0.3">
      <c r="A126" s="372" t="s">
        <v>315</v>
      </c>
      <c r="B126" s="372">
        <v>0</v>
      </c>
      <c r="C126" s="778"/>
      <c r="D126" s="734"/>
      <c r="E126" s="372">
        <v>0</v>
      </c>
      <c r="F126" s="778"/>
      <c r="G126" s="734"/>
    </row>
    <row r="127" spans="1:7" x14ac:dyDescent="0.3">
      <c r="A127" s="372" t="s">
        <v>390</v>
      </c>
      <c r="B127" s="372">
        <v>0</v>
      </c>
      <c r="C127" s="778"/>
      <c r="D127" s="734"/>
      <c r="E127" s="372"/>
      <c r="F127" s="778"/>
      <c r="G127" s="734"/>
    </row>
    <row r="128" spans="1:7" x14ac:dyDescent="0.3">
      <c r="A128" s="526" t="s">
        <v>12</v>
      </c>
      <c r="B128" s="375">
        <v>0</v>
      </c>
      <c r="C128" s="779">
        <v>0</v>
      </c>
      <c r="D128" s="735">
        <v>0</v>
      </c>
      <c r="E128" s="375">
        <v>0</v>
      </c>
      <c r="F128" s="779">
        <v>0</v>
      </c>
      <c r="G128" s="735">
        <v>0</v>
      </c>
    </row>
    <row r="129" spans="1:7" x14ac:dyDescent="0.3">
      <c r="A129" s="372" t="s">
        <v>391</v>
      </c>
      <c r="B129" s="372">
        <v>0</v>
      </c>
      <c r="C129" s="778"/>
      <c r="D129" s="734"/>
      <c r="E129" s="372">
        <v>0</v>
      </c>
      <c r="F129" s="778"/>
      <c r="G129" s="734"/>
    </row>
    <row r="130" spans="1:7" x14ac:dyDescent="0.3">
      <c r="A130" s="372" t="s">
        <v>392</v>
      </c>
      <c r="B130" s="372">
        <v>0</v>
      </c>
      <c r="C130" s="778"/>
      <c r="D130" s="734"/>
      <c r="E130" s="372">
        <v>0</v>
      </c>
      <c r="F130" s="778"/>
      <c r="G130" s="734"/>
    </row>
    <row r="131" spans="1:7" x14ac:dyDescent="0.3">
      <c r="A131" s="372" t="s">
        <v>393</v>
      </c>
      <c r="B131" s="372">
        <v>0</v>
      </c>
      <c r="C131" s="778"/>
      <c r="D131" s="734"/>
      <c r="E131" s="372">
        <v>0</v>
      </c>
      <c r="F131" s="778"/>
      <c r="G131" s="734"/>
    </row>
    <row r="132" spans="1:7" x14ac:dyDescent="0.3">
      <c r="A132" s="372" t="s">
        <v>394</v>
      </c>
      <c r="B132" s="372">
        <v>0</v>
      </c>
      <c r="C132" s="778"/>
      <c r="D132" s="734"/>
      <c r="E132" s="372">
        <v>0</v>
      </c>
      <c r="F132" s="778"/>
      <c r="G132" s="734"/>
    </row>
    <row r="133" spans="1:7" x14ac:dyDescent="0.3">
      <c r="A133" s="377"/>
      <c r="B133" s="377"/>
      <c r="C133" s="780"/>
      <c r="D133" s="736"/>
      <c r="E133" s="377"/>
      <c r="F133" s="780"/>
      <c r="G133" s="736"/>
    </row>
    <row r="148" spans="1:7" x14ac:dyDescent="0.3">
      <c r="A148" s="3516" t="s">
        <v>0</v>
      </c>
      <c r="B148" s="3515" t="s">
        <v>5</v>
      </c>
      <c r="C148" s="3515"/>
      <c r="D148" s="3515"/>
      <c r="E148" s="3515" t="s">
        <v>21</v>
      </c>
      <c r="F148" s="3515"/>
      <c r="G148" s="3515"/>
    </row>
    <row r="149" spans="1:7" x14ac:dyDescent="0.3">
      <c r="A149" s="3517"/>
      <c r="B149" s="380" t="s">
        <v>28</v>
      </c>
      <c r="C149" s="775" t="s">
        <v>34</v>
      </c>
      <c r="D149" s="731" t="s">
        <v>62</v>
      </c>
      <c r="E149" s="380" t="s">
        <v>28</v>
      </c>
      <c r="F149" s="775" t="s">
        <v>34</v>
      </c>
      <c r="G149" s="731" t="s">
        <v>62</v>
      </c>
    </row>
    <row r="150" spans="1:7" ht="19.5" thickBot="1" x14ac:dyDescent="0.35">
      <c r="A150" s="525" t="s">
        <v>28</v>
      </c>
      <c r="B150" s="367">
        <v>0</v>
      </c>
      <c r="C150" s="776">
        <v>0</v>
      </c>
      <c r="D150" s="732">
        <v>0</v>
      </c>
      <c r="E150" s="367">
        <v>0</v>
      </c>
      <c r="F150" s="776">
        <v>0</v>
      </c>
      <c r="G150" s="732">
        <v>0</v>
      </c>
    </row>
    <row r="151" spans="1:7" ht="19.5" thickTop="1" x14ac:dyDescent="0.3">
      <c r="A151" s="369" t="s">
        <v>7</v>
      </c>
      <c r="B151" s="370">
        <v>0</v>
      </c>
      <c r="C151" s="777">
        <v>0</v>
      </c>
      <c r="D151" s="733">
        <v>0</v>
      </c>
      <c r="E151" s="370">
        <v>0</v>
      </c>
      <c r="F151" s="777">
        <v>0</v>
      </c>
      <c r="G151" s="733">
        <v>0</v>
      </c>
    </row>
    <row r="152" spans="1:7" x14ac:dyDescent="0.3">
      <c r="A152" s="398" t="s">
        <v>8</v>
      </c>
      <c r="B152" s="372">
        <v>0</v>
      </c>
      <c r="C152" s="778"/>
      <c r="D152" s="734"/>
      <c r="E152" s="372">
        <v>0</v>
      </c>
      <c r="F152" s="778"/>
      <c r="G152" s="734"/>
    </row>
    <row r="153" spans="1:7" x14ac:dyDescent="0.3">
      <c r="A153" s="398" t="s">
        <v>306</v>
      </c>
      <c r="B153" s="372">
        <v>0</v>
      </c>
      <c r="C153" s="778"/>
      <c r="D153" s="734"/>
      <c r="E153" s="372">
        <v>0</v>
      </c>
      <c r="F153" s="778"/>
      <c r="G153" s="734"/>
    </row>
    <row r="154" spans="1:7" x14ac:dyDescent="0.3">
      <c r="A154" s="372"/>
      <c r="B154" s="372"/>
      <c r="C154" s="778"/>
      <c r="D154" s="734"/>
      <c r="E154" s="372"/>
      <c r="F154" s="778"/>
      <c r="G154" s="734"/>
    </row>
    <row r="155" spans="1:7" x14ac:dyDescent="0.3">
      <c r="A155" s="526" t="s">
        <v>9</v>
      </c>
      <c r="B155" s="375">
        <v>0</v>
      </c>
      <c r="C155" s="779">
        <v>0</v>
      </c>
      <c r="D155" s="735">
        <v>0</v>
      </c>
      <c r="E155" s="375">
        <v>0</v>
      </c>
      <c r="F155" s="779">
        <v>0</v>
      </c>
      <c r="G155" s="735">
        <v>0</v>
      </c>
    </row>
    <row r="156" spans="1:7" x14ac:dyDescent="0.3">
      <c r="A156" s="372" t="s">
        <v>308</v>
      </c>
      <c r="B156" s="372">
        <v>0</v>
      </c>
      <c r="C156" s="778"/>
      <c r="D156" s="734"/>
      <c r="E156" s="372">
        <v>0</v>
      </c>
      <c r="F156" s="778"/>
      <c r="G156" s="734"/>
    </row>
    <row r="157" spans="1:7" x14ac:dyDescent="0.3">
      <c r="A157" s="372" t="s">
        <v>309</v>
      </c>
      <c r="B157" s="372">
        <v>0</v>
      </c>
      <c r="C157" s="778"/>
      <c r="D157" s="734"/>
      <c r="E157" s="372">
        <v>0</v>
      </c>
      <c r="F157" s="778"/>
      <c r="G157" s="734"/>
    </row>
    <row r="158" spans="1:7" x14ac:dyDescent="0.3">
      <c r="A158" s="372" t="s">
        <v>310</v>
      </c>
      <c r="B158" s="372">
        <v>0</v>
      </c>
      <c r="C158" s="778"/>
      <c r="D158" s="734"/>
      <c r="E158" s="372">
        <v>0</v>
      </c>
      <c r="F158" s="778"/>
      <c r="G158" s="734"/>
    </row>
    <row r="159" spans="1:7" x14ac:dyDescent="0.3">
      <c r="A159" s="372" t="s">
        <v>311</v>
      </c>
      <c r="B159" s="372">
        <v>0</v>
      </c>
      <c r="C159" s="778"/>
      <c r="D159" s="734"/>
      <c r="E159" s="372">
        <v>0</v>
      </c>
      <c r="F159" s="778"/>
      <c r="G159" s="734"/>
    </row>
    <row r="160" spans="1:7" x14ac:dyDescent="0.3">
      <c r="A160" s="372" t="s">
        <v>312</v>
      </c>
      <c r="B160" s="372">
        <v>0</v>
      </c>
      <c r="C160" s="778"/>
      <c r="D160" s="734"/>
      <c r="E160" s="372">
        <v>0</v>
      </c>
      <c r="F160" s="778"/>
      <c r="G160" s="734"/>
    </row>
    <row r="161" spans="1:7" x14ac:dyDescent="0.3">
      <c r="A161" s="372" t="s">
        <v>313</v>
      </c>
      <c r="B161" s="372">
        <v>0</v>
      </c>
      <c r="C161" s="778"/>
      <c r="D161" s="734"/>
      <c r="E161" s="372">
        <v>0</v>
      </c>
      <c r="F161" s="778"/>
      <c r="G161" s="734"/>
    </row>
    <row r="162" spans="1:7" x14ac:dyDescent="0.3">
      <c r="A162" s="372" t="s">
        <v>314</v>
      </c>
      <c r="B162" s="372"/>
      <c r="C162" s="778"/>
      <c r="D162" s="734"/>
      <c r="E162" s="372">
        <v>0</v>
      </c>
      <c r="F162" s="778"/>
      <c r="G162" s="734"/>
    </row>
    <row r="163" spans="1:7" x14ac:dyDescent="0.3">
      <c r="A163" s="372" t="s">
        <v>315</v>
      </c>
      <c r="B163" s="372"/>
      <c r="C163" s="778"/>
      <c r="D163" s="734"/>
      <c r="E163" s="372">
        <v>0</v>
      </c>
      <c r="F163" s="778"/>
      <c r="G163" s="734"/>
    </row>
    <row r="164" spans="1:7" x14ac:dyDescent="0.3">
      <c r="A164" s="372" t="s">
        <v>390</v>
      </c>
      <c r="B164" s="372"/>
      <c r="C164" s="778"/>
      <c r="D164" s="734"/>
      <c r="E164" s="372"/>
      <c r="F164" s="778"/>
      <c r="G164" s="734"/>
    </row>
    <row r="165" spans="1:7" x14ac:dyDescent="0.3">
      <c r="A165" s="526" t="s">
        <v>12</v>
      </c>
      <c r="B165" s="375">
        <v>0</v>
      </c>
      <c r="C165" s="779">
        <v>0</v>
      </c>
      <c r="D165" s="735">
        <v>0</v>
      </c>
      <c r="E165" s="375">
        <v>0</v>
      </c>
      <c r="F165" s="779">
        <v>0</v>
      </c>
      <c r="G165" s="735">
        <v>0</v>
      </c>
    </row>
    <row r="166" spans="1:7" x14ac:dyDescent="0.3">
      <c r="A166" s="372" t="s">
        <v>391</v>
      </c>
      <c r="B166" s="372">
        <v>0</v>
      </c>
      <c r="C166" s="778"/>
      <c r="D166" s="734"/>
      <c r="E166" s="372">
        <v>0</v>
      </c>
      <c r="F166" s="778"/>
      <c r="G166" s="734"/>
    </row>
    <row r="167" spans="1:7" x14ac:dyDescent="0.3">
      <c r="A167" s="372" t="s">
        <v>392</v>
      </c>
      <c r="B167" s="372">
        <v>0</v>
      </c>
      <c r="C167" s="778"/>
      <c r="D167" s="734"/>
      <c r="E167" s="372">
        <v>0</v>
      </c>
      <c r="F167" s="778"/>
      <c r="G167" s="734"/>
    </row>
    <row r="168" spans="1:7" x14ac:dyDescent="0.3">
      <c r="A168" s="372" t="s">
        <v>393</v>
      </c>
      <c r="B168" s="372">
        <v>0</v>
      </c>
      <c r="C168" s="778"/>
      <c r="D168" s="734"/>
      <c r="E168" s="372">
        <v>0</v>
      </c>
      <c r="F168" s="778"/>
      <c r="G168" s="734"/>
    </row>
    <row r="169" spans="1:7" x14ac:dyDescent="0.3">
      <c r="A169" s="372" t="s">
        <v>394</v>
      </c>
      <c r="B169" s="372">
        <v>0</v>
      </c>
      <c r="C169" s="778"/>
      <c r="D169" s="734"/>
      <c r="E169" s="372">
        <v>0</v>
      </c>
      <c r="F169" s="778"/>
      <c r="G169" s="734"/>
    </row>
    <row r="170" spans="1:7" x14ac:dyDescent="0.3">
      <c r="A170" s="377"/>
      <c r="B170" s="377"/>
      <c r="C170" s="780"/>
      <c r="D170" s="736"/>
      <c r="E170" s="377"/>
      <c r="F170" s="780"/>
      <c r="G170" s="736"/>
    </row>
  </sheetData>
  <mergeCells count="17">
    <mergeCell ref="A3:A4"/>
    <mergeCell ref="B3:D3"/>
    <mergeCell ref="E3:G3"/>
    <mergeCell ref="I3:I4"/>
    <mergeCell ref="J3:L3"/>
    <mergeCell ref="A37:A38"/>
    <mergeCell ref="B37:D37"/>
    <mergeCell ref="E37:G37"/>
    <mergeCell ref="A148:A149"/>
    <mergeCell ref="B148:D148"/>
    <mergeCell ref="E148:G148"/>
    <mergeCell ref="A74:A75"/>
    <mergeCell ref="B74:D74"/>
    <mergeCell ref="E74:G74"/>
    <mergeCell ref="A111:A112"/>
    <mergeCell ref="B111:D111"/>
    <mergeCell ref="E111:G111"/>
  </mergeCells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2" tint="-0.249977111117893"/>
  </sheetPr>
  <dimension ref="A1:T170"/>
  <sheetViews>
    <sheetView zoomScaleNormal="100" workbookViewId="0">
      <selection activeCell="P6" sqref="P6"/>
    </sheetView>
  </sheetViews>
  <sheetFormatPr defaultColWidth="9.140625" defaultRowHeight="18.75" x14ac:dyDescent="0.3"/>
  <cols>
    <col min="1" max="1" width="18.140625" style="339" customWidth="1"/>
    <col min="2" max="2" width="9" style="339" customWidth="1"/>
    <col min="3" max="3" width="11.28515625" style="339" customWidth="1"/>
    <col min="4" max="7" width="9" style="339" customWidth="1"/>
    <col min="8" max="8" width="9.140625" style="339"/>
    <col min="9" max="9" width="23.28515625" style="339" customWidth="1"/>
    <col min="10" max="10" width="9.7109375" style="339" customWidth="1"/>
    <col min="11" max="11" width="10.28515625" style="339" customWidth="1"/>
    <col min="12" max="12" width="9.28515625" style="339" customWidth="1"/>
    <col min="13" max="13" width="16.42578125" style="339" customWidth="1"/>
    <col min="14" max="14" width="10.42578125" style="339" customWidth="1"/>
    <col min="15" max="15" width="10" style="339" bestFit="1" customWidth="1"/>
    <col min="16" max="16" width="11" style="339" bestFit="1" customWidth="1"/>
    <col min="17" max="17" width="10.85546875" style="339" customWidth="1"/>
    <col min="18" max="16384" width="9.140625" style="339"/>
  </cols>
  <sheetData>
    <row r="1" spans="1:20" x14ac:dyDescent="0.3">
      <c r="A1" s="342" t="s">
        <v>808</v>
      </c>
      <c r="L1" s="382"/>
      <c r="N1" s="382" t="s">
        <v>284</v>
      </c>
      <c r="Q1" s="520"/>
      <c r="R1" s="520"/>
      <c r="S1" s="521"/>
      <c r="T1" s="522"/>
    </row>
    <row r="2" spans="1:20" x14ac:dyDescent="0.3">
      <c r="N2" s="379" t="s">
        <v>299</v>
      </c>
      <c r="Q2" s="520"/>
      <c r="R2" s="520"/>
      <c r="S2" s="523"/>
      <c r="T2" s="520"/>
    </row>
    <row r="3" spans="1:20" ht="24.95" customHeight="1" x14ac:dyDescent="0.3">
      <c r="A3" s="3516" t="s">
        <v>0</v>
      </c>
      <c r="B3" s="3520" t="s">
        <v>6</v>
      </c>
      <c r="C3" s="3520"/>
      <c r="D3" s="3520"/>
      <c r="E3" s="3520" t="s">
        <v>2</v>
      </c>
      <c r="F3" s="3520"/>
      <c r="G3" s="3520"/>
      <c r="I3" s="3516" t="s">
        <v>0</v>
      </c>
      <c r="J3" s="3520" t="s">
        <v>28</v>
      </c>
      <c r="K3" s="3520"/>
      <c r="L3" s="3520"/>
      <c r="N3" s="379" t="s">
        <v>333</v>
      </c>
      <c r="Q3" s="520"/>
      <c r="R3" s="520"/>
      <c r="S3" s="520"/>
      <c r="T3" s="520"/>
    </row>
    <row r="4" spans="1:20" ht="24.95" customHeight="1" x14ac:dyDescent="0.3">
      <c r="A4" s="3517"/>
      <c r="B4" s="380" t="s">
        <v>28</v>
      </c>
      <c r="C4" s="775" t="s">
        <v>34</v>
      </c>
      <c r="D4" s="731" t="s">
        <v>62</v>
      </c>
      <c r="E4" s="380" t="s">
        <v>28</v>
      </c>
      <c r="F4" s="775" t="s">
        <v>34</v>
      </c>
      <c r="G4" s="731" t="s">
        <v>62</v>
      </c>
      <c r="I4" s="3517"/>
      <c r="J4" s="380" t="s">
        <v>28</v>
      </c>
      <c r="K4" s="775" t="s">
        <v>34</v>
      </c>
      <c r="L4" s="731" t="s">
        <v>62</v>
      </c>
      <c r="M4" s="932">
        <f>+B5+E5+B39+E39+B76+E76+B113+E113+B150+E150</f>
        <v>0</v>
      </c>
      <c r="N4" s="379" t="s">
        <v>334</v>
      </c>
      <c r="Q4" s="520"/>
    </row>
    <row r="5" spans="1:20" ht="24.95" customHeight="1" thickBot="1" x14ac:dyDescent="0.35">
      <c r="A5" s="525" t="s">
        <v>28</v>
      </c>
      <c r="B5" s="367">
        <f t="shared" ref="B5:G5" si="0">SUM(B6+B10+B20)</f>
        <v>0</v>
      </c>
      <c r="C5" s="776">
        <f t="shared" si="0"/>
        <v>0</v>
      </c>
      <c r="D5" s="732">
        <f t="shared" si="0"/>
        <v>0</v>
      </c>
      <c r="E5" s="367">
        <f t="shared" si="0"/>
        <v>0</v>
      </c>
      <c r="F5" s="776">
        <f t="shared" si="0"/>
        <v>0</v>
      </c>
      <c r="G5" s="732">
        <f t="shared" si="0"/>
        <v>0</v>
      </c>
      <c r="I5" s="525" t="s">
        <v>28</v>
      </c>
      <c r="J5" s="367">
        <f>SUM(K5:L5)</f>
        <v>0</v>
      </c>
      <c r="K5" s="776">
        <f>SUM(K6+K10+K20)</f>
        <v>0</v>
      </c>
      <c r="L5" s="732">
        <f>SUM(L6+L10+L20)</f>
        <v>0</v>
      </c>
      <c r="N5" s="524" t="s">
        <v>16</v>
      </c>
      <c r="Q5" s="520"/>
    </row>
    <row r="6" spans="1:20" s="342" customFormat="1" ht="24.95" customHeight="1" thickTop="1" x14ac:dyDescent="0.3">
      <c r="A6" s="369" t="s">
        <v>7</v>
      </c>
      <c r="B6" s="370">
        <f t="shared" ref="B6:G6" si="1">SUM(B7:B8)</f>
        <v>0</v>
      </c>
      <c r="C6" s="777">
        <f t="shared" si="1"/>
        <v>0</v>
      </c>
      <c r="D6" s="733">
        <f t="shared" si="1"/>
        <v>0</v>
      </c>
      <c r="E6" s="370">
        <f t="shared" si="1"/>
        <v>0</v>
      </c>
      <c r="F6" s="777">
        <f t="shared" si="1"/>
        <v>0</v>
      </c>
      <c r="G6" s="733">
        <f t="shared" si="1"/>
        <v>0</v>
      </c>
      <c r="I6" s="369" t="s">
        <v>7</v>
      </c>
      <c r="J6" s="370">
        <f>SUM(K6:L6)</f>
        <v>0</v>
      </c>
      <c r="K6" s="777">
        <f>SUM(K7:K8)</f>
        <v>0</v>
      </c>
      <c r="L6" s="733">
        <f>SUM(L7:L8)</f>
        <v>0</v>
      </c>
      <c r="N6" s="379" t="s">
        <v>331</v>
      </c>
      <c r="O6" s="339"/>
      <c r="P6" s="339"/>
      <c r="Q6" s="339"/>
    </row>
    <row r="7" spans="1:20" ht="24.95" customHeight="1" x14ac:dyDescent="0.3">
      <c r="A7" s="398" t="s">
        <v>8</v>
      </c>
      <c r="B7" s="372">
        <f>SUM(C7:D7)</f>
        <v>0</v>
      </c>
      <c r="C7" s="726">
        <f>+'[27]16.โครงการ'!$S$4</f>
        <v>0</v>
      </c>
      <c r="D7" s="734">
        <f>+'[27]16.โครงการ'!$T$4</f>
        <v>0</v>
      </c>
      <c r="E7" s="372">
        <f>SUM(F7:G7)</f>
        <v>0</v>
      </c>
      <c r="F7" s="778">
        <f>+'[28]16.โครงการ'!$S$4</f>
        <v>0</v>
      </c>
      <c r="G7" s="734">
        <f>+'[28]16.โครงการ'!$T$4</f>
        <v>0</v>
      </c>
      <c r="I7" s="398" t="s">
        <v>8</v>
      </c>
      <c r="J7" s="372">
        <f>SUM(K7:L7)</f>
        <v>0</v>
      </c>
      <c r="K7" s="778">
        <f>+F78</f>
        <v>0</v>
      </c>
      <c r="L7" s="734">
        <f>+G78</f>
        <v>0</v>
      </c>
      <c r="N7" s="379" t="s">
        <v>16</v>
      </c>
    </row>
    <row r="8" spans="1:20" ht="24.95" customHeight="1" x14ac:dyDescent="0.3">
      <c r="A8" s="398" t="s">
        <v>306</v>
      </c>
      <c r="B8" s="372">
        <f>SUM(C8:D8)</f>
        <v>0</v>
      </c>
      <c r="C8" s="726">
        <f>+'[27]16.โครงการ'!$S$36</f>
        <v>0</v>
      </c>
      <c r="D8" s="734">
        <f>+'[27]16.โครงการ'!$T$36</f>
        <v>0</v>
      </c>
      <c r="E8" s="372">
        <f>SUM(F8:G8)</f>
        <v>0</v>
      </c>
      <c r="F8" s="778">
        <f>+'[28]16.โครงการ'!$S$36</f>
        <v>0</v>
      </c>
      <c r="G8" s="734">
        <f>+'[28]16.โครงการ'!$T$36</f>
        <v>0</v>
      </c>
      <c r="I8" s="398" t="s">
        <v>306</v>
      </c>
      <c r="J8" s="372">
        <f>SUM(K8:L8)</f>
        <v>0</v>
      </c>
      <c r="K8" s="778">
        <f>+F79</f>
        <v>0</v>
      </c>
      <c r="L8" s="734">
        <f>+G79</f>
        <v>0</v>
      </c>
      <c r="N8" s="339" t="s">
        <v>337</v>
      </c>
      <c r="O8" s="342"/>
      <c r="Q8" s="342"/>
    </row>
    <row r="9" spans="1:20" ht="24.95" customHeight="1" x14ac:dyDescent="0.3">
      <c r="A9" s="372"/>
      <c r="B9" s="372"/>
      <c r="C9" s="778"/>
      <c r="D9" s="734"/>
      <c r="E9" s="372"/>
      <c r="F9" s="778"/>
      <c r="G9" s="734"/>
      <c r="I9" s="372"/>
      <c r="J9" s="372"/>
      <c r="K9" s="778"/>
      <c r="L9" s="734"/>
      <c r="N9" s="339" t="s">
        <v>34</v>
      </c>
    </row>
    <row r="10" spans="1:20" s="342" customFormat="1" ht="24.95" customHeight="1" x14ac:dyDescent="0.3">
      <c r="A10" s="526" t="s">
        <v>9</v>
      </c>
      <c r="B10" s="375">
        <f>SUM(B11:B16)</f>
        <v>0</v>
      </c>
      <c r="C10" s="779">
        <f>SUM(C11:C16)</f>
        <v>0</v>
      </c>
      <c r="D10" s="735">
        <f>SUM(D11:D16)</f>
        <v>0</v>
      </c>
      <c r="E10" s="375">
        <f>SUM(E11:E19)</f>
        <v>0</v>
      </c>
      <c r="F10" s="779">
        <f>SUM(F11:F19)</f>
        <v>0</v>
      </c>
      <c r="G10" s="735">
        <f>SUM(G11:G19)</f>
        <v>0</v>
      </c>
      <c r="I10" s="526" t="s">
        <v>9</v>
      </c>
      <c r="J10" s="375">
        <f t="shared" ref="J10:J19" si="2">SUM(K10:L10)</f>
        <v>0</v>
      </c>
      <c r="K10" s="779">
        <f>SUM(K11:K16)</f>
        <v>0</v>
      </c>
      <c r="L10" s="735">
        <f>SUM(L11:L18)</f>
        <v>0</v>
      </c>
      <c r="N10" s="339" t="s">
        <v>16</v>
      </c>
      <c r="O10" s="339"/>
      <c r="P10" s="339"/>
    </row>
    <row r="11" spans="1:20" ht="24.95" customHeight="1" x14ac:dyDescent="0.3">
      <c r="A11" s="372" t="s">
        <v>308</v>
      </c>
      <c r="B11" s="372">
        <f t="shared" ref="B11:B19" si="3">SUM(C11:D11)</f>
        <v>0</v>
      </c>
      <c r="C11" s="726">
        <f>+'[27]16.โครงการ'!$S$69</f>
        <v>0</v>
      </c>
      <c r="D11" s="734">
        <f>+'[27]16.โครงการ'!$T$69</f>
        <v>0</v>
      </c>
      <c r="E11" s="372">
        <f t="shared" ref="E11:E19" si="4">SUM(F11:G11)</f>
        <v>0</v>
      </c>
      <c r="F11" s="778">
        <f>+'[28]16.โครงการ'!$S$69</f>
        <v>0</v>
      </c>
      <c r="G11" s="734">
        <f>+'[28]16.โครงการ'!$T$69</f>
        <v>0</v>
      </c>
      <c r="I11" s="372" t="s">
        <v>308</v>
      </c>
      <c r="J11" s="372">
        <f>SUM(K11:L11)</f>
        <v>0</v>
      </c>
      <c r="K11" s="778">
        <f>+F82</f>
        <v>0</v>
      </c>
      <c r="L11" s="734">
        <f>+G82</f>
        <v>0</v>
      </c>
    </row>
    <row r="12" spans="1:20" ht="24.95" customHeight="1" x14ac:dyDescent="0.3">
      <c r="A12" s="372" t="s">
        <v>309</v>
      </c>
      <c r="B12" s="372">
        <f t="shared" si="3"/>
        <v>0</v>
      </c>
      <c r="C12" s="726">
        <f>+'[27]16.โครงการ'!$S$102</f>
        <v>0</v>
      </c>
      <c r="D12" s="734">
        <f>+'[27]16.โครงการ'!$T$102</f>
        <v>0</v>
      </c>
      <c r="E12" s="372">
        <f t="shared" si="4"/>
        <v>0</v>
      </c>
      <c r="F12" s="778">
        <f>+'[28]16.โครงการ'!$S$102</f>
        <v>0</v>
      </c>
      <c r="G12" s="734">
        <f>+'[28]16.โครงการ'!$T$102</f>
        <v>0</v>
      </c>
      <c r="I12" s="372" t="s">
        <v>309</v>
      </c>
      <c r="J12" s="372">
        <f t="shared" si="2"/>
        <v>0</v>
      </c>
      <c r="K12" s="778">
        <f t="shared" ref="K12:K19" si="5">+F83</f>
        <v>0</v>
      </c>
      <c r="L12" s="734">
        <f t="shared" ref="L12:L19" si="6">+G83</f>
        <v>0</v>
      </c>
      <c r="N12" s="379" t="s">
        <v>335</v>
      </c>
      <c r="O12" s="342"/>
      <c r="P12" s="342"/>
    </row>
    <row r="13" spans="1:20" ht="24.95" customHeight="1" x14ac:dyDescent="0.3">
      <c r="A13" s="372" t="s">
        <v>310</v>
      </c>
      <c r="B13" s="372">
        <f t="shared" si="3"/>
        <v>0</v>
      </c>
      <c r="C13" s="726">
        <f>+'[27]16.โครงการ'!$S$135</f>
        <v>0</v>
      </c>
      <c r="D13" s="734">
        <f>+'[27]16.โครงการ'!$T$135</f>
        <v>0</v>
      </c>
      <c r="E13" s="372">
        <f>SUM(F13:G13)</f>
        <v>0</v>
      </c>
      <c r="F13" s="778">
        <f>+'[28]16.โครงการ'!$S$135</f>
        <v>0</v>
      </c>
      <c r="G13" s="734">
        <f>+'[28]16.โครงการ'!$T$135</f>
        <v>0</v>
      </c>
      <c r="I13" s="372" t="s">
        <v>310</v>
      </c>
      <c r="J13" s="372">
        <f t="shared" si="2"/>
        <v>0</v>
      </c>
      <c r="K13" s="778">
        <f t="shared" si="5"/>
        <v>0</v>
      </c>
      <c r="L13" s="734">
        <f t="shared" si="6"/>
        <v>0</v>
      </c>
      <c r="N13" s="379" t="s">
        <v>336</v>
      </c>
    </row>
    <row r="14" spans="1:20" ht="24.95" customHeight="1" x14ac:dyDescent="0.3">
      <c r="A14" s="372" t="s">
        <v>311</v>
      </c>
      <c r="B14" s="372">
        <f t="shared" si="3"/>
        <v>0</v>
      </c>
      <c r="C14" s="726">
        <f>+'[27]16.โครงการ'!$S$168</f>
        <v>0</v>
      </c>
      <c r="D14" s="734">
        <f>+'[27]16.โครงการ'!$T$168</f>
        <v>0</v>
      </c>
      <c r="E14" s="372">
        <f t="shared" si="4"/>
        <v>0</v>
      </c>
      <c r="F14" s="778">
        <f>+'[28]16.โครงการ'!$S$168</f>
        <v>0</v>
      </c>
      <c r="G14" s="734">
        <f>+'[28]16.โครงการ'!$T$168</f>
        <v>0</v>
      </c>
      <c r="I14" s="372" t="s">
        <v>311</v>
      </c>
      <c r="J14" s="372">
        <f t="shared" si="2"/>
        <v>0</v>
      </c>
      <c r="K14" s="778">
        <f t="shared" si="5"/>
        <v>0</v>
      </c>
      <c r="L14" s="734">
        <f t="shared" si="6"/>
        <v>0</v>
      </c>
      <c r="N14" s="339" t="s">
        <v>28</v>
      </c>
    </row>
    <row r="15" spans="1:20" ht="24.95" customHeight="1" x14ac:dyDescent="0.3">
      <c r="A15" s="372" t="s">
        <v>312</v>
      </c>
      <c r="B15" s="372">
        <f t="shared" si="3"/>
        <v>0</v>
      </c>
      <c r="C15" s="726">
        <f>+'[27]16.โครงการ'!$S$201</f>
        <v>0</v>
      </c>
      <c r="D15" s="734">
        <f>+'[27]16.โครงการ'!$T$201</f>
        <v>0</v>
      </c>
      <c r="E15" s="372">
        <f>SUM(F15:G15)</f>
        <v>0</v>
      </c>
      <c r="F15" s="778">
        <f>+'[28]16.โครงการ'!$S$201</f>
        <v>0</v>
      </c>
      <c r="G15" s="734">
        <f>+'[28]16.โครงการ'!$T$201</f>
        <v>0</v>
      </c>
      <c r="I15" s="372" t="s">
        <v>312</v>
      </c>
      <c r="J15" s="372">
        <f t="shared" si="2"/>
        <v>0</v>
      </c>
      <c r="K15" s="778">
        <f t="shared" si="5"/>
        <v>0</v>
      </c>
      <c r="L15" s="734">
        <f t="shared" si="6"/>
        <v>0</v>
      </c>
      <c r="N15" s="379" t="s">
        <v>334</v>
      </c>
    </row>
    <row r="16" spans="1:20" ht="24.95" customHeight="1" x14ac:dyDescent="0.3">
      <c r="A16" s="372" t="s">
        <v>313</v>
      </c>
      <c r="B16" s="372">
        <f t="shared" si="3"/>
        <v>0</v>
      </c>
      <c r="C16" s="726">
        <f>+'[27]16.โครงการ'!$S$498</f>
        <v>0</v>
      </c>
      <c r="D16" s="734">
        <f>+'[27]16.โครงการ'!$T$498</f>
        <v>0</v>
      </c>
      <c r="E16" s="372">
        <f t="shared" si="4"/>
        <v>0</v>
      </c>
      <c r="F16" s="778">
        <f>+'[28]16.โครงการ'!$S$498</f>
        <v>0</v>
      </c>
      <c r="G16" s="734">
        <f>+'[28]16.โครงการ'!$T$498</f>
        <v>0</v>
      </c>
      <c r="I16" s="372" t="s">
        <v>313</v>
      </c>
      <c r="J16" s="372">
        <f t="shared" si="2"/>
        <v>0</v>
      </c>
      <c r="K16" s="778">
        <f t="shared" si="5"/>
        <v>0</v>
      </c>
      <c r="L16" s="734">
        <f t="shared" si="6"/>
        <v>0</v>
      </c>
      <c r="N16" s="339" t="s">
        <v>16</v>
      </c>
    </row>
    <row r="17" spans="1:12" ht="24.95" customHeight="1" x14ac:dyDescent="0.3">
      <c r="A17" s="372" t="s">
        <v>314</v>
      </c>
      <c r="B17" s="372">
        <f t="shared" si="3"/>
        <v>0</v>
      </c>
      <c r="C17" s="726">
        <f>+'[27]16.โครงการ'!$S$531</f>
        <v>0</v>
      </c>
      <c r="D17" s="734">
        <f>+'[27]16.โครงการ'!$T$531</f>
        <v>0</v>
      </c>
      <c r="E17" s="372">
        <f t="shared" si="4"/>
        <v>0</v>
      </c>
      <c r="F17" s="778">
        <f>+'[28]16.โครงการ'!$S$531</f>
        <v>0</v>
      </c>
      <c r="G17" s="734">
        <f>+'[28]16.โครงการ'!$T$531</f>
        <v>0</v>
      </c>
      <c r="I17" s="372" t="s">
        <v>314</v>
      </c>
      <c r="J17" s="372">
        <f t="shared" si="2"/>
        <v>0</v>
      </c>
      <c r="K17" s="778">
        <f t="shared" si="5"/>
        <v>0</v>
      </c>
      <c r="L17" s="734">
        <f t="shared" si="6"/>
        <v>0</v>
      </c>
    </row>
    <row r="18" spans="1:12" ht="24.95" customHeight="1" x14ac:dyDescent="0.3">
      <c r="A18" s="372" t="s">
        <v>315</v>
      </c>
      <c r="B18" s="372">
        <f t="shared" si="3"/>
        <v>0</v>
      </c>
      <c r="C18" s="726">
        <f>+'[27]16.โครงการ'!$S$564</f>
        <v>0</v>
      </c>
      <c r="D18" s="734">
        <f>+'[27]16.โครงการ'!$T$564</f>
        <v>0</v>
      </c>
      <c r="E18" s="372">
        <f t="shared" si="4"/>
        <v>0</v>
      </c>
      <c r="F18" s="778">
        <f>+'[28]16.โครงการ'!$S$564</f>
        <v>0</v>
      </c>
      <c r="G18" s="734">
        <f>+'[28]16.โครงการ'!$T$564</f>
        <v>0</v>
      </c>
      <c r="I18" s="372" t="s">
        <v>315</v>
      </c>
      <c r="J18" s="372">
        <f t="shared" si="2"/>
        <v>0</v>
      </c>
      <c r="K18" s="778">
        <f t="shared" si="5"/>
        <v>0</v>
      </c>
      <c r="L18" s="734">
        <f t="shared" si="6"/>
        <v>0</v>
      </c>
    </row>
    <row r="19" spans="1:12" ht="24.95" customHeight="1" x14ac:dyDescent="0.3">
      <c r="A19" s="372" t="s">
        <v>390</v>
      </c>
      <c r="B19" s="372">
        <f t="shared" si="3"/>
        <v>0</v>
      </c>
      <c r="C19" s="726">
        <f>+'[27]16.โครงการ'!$S$595</f>
        <v>0</v>
      </c>
      <c r="D19" s="734">
        <f>+'[27]16.โครงการ'!$T$595</f>
        <v>0</v>
      </c>
      <c r="E19" s="372">
        <f t="shared" si="4"/>
        <v>0</v>
      </c>
      <c r="F19" s="778">
        <f>+'[28]16.โครงการ'!$S$595</f>
        <v>0</v>
      </c>
      <c r="G19" s="734">
        <f>+'[28]16.โครงการ'!$T$595</f>
        <v>0</v>
      </c>
      <c r="I19" s="372" t="s">
        <v>390</v>
      </c>
      <c r="J19" s="372">
        <f t="shared" si="2"/>
        <v>0</v>
      </c>
      <c r="K19" s="778">
        <f t="shared" si="5"/>
        <v>0</v>
      </c>
      <c r="L19" s="734">
        <f t="shared" si="6"/>
        <v>0</v>
      </c>
    </row>
    <row r="20" spans="1:12" s="342" customFormat="1" ht="24.95" customHeight="1" x14ac:dyDescent="0.3">
      <c r="A20" s="526" t="s">
        <v>12</v>
      </c>
      <c r="B20" s="375">
        <f t="shared" ref="B20:G20" si="7">SUM(B21:B24)</f>
        <v>0</v>
      </c>
      <c r="C20" s="779">
        <f>SUM(C21:C24)</f>
        <v>0</v>
      </c>
      <c r="D20" s="735">
        <f t="shared" si="7"/>
        <v>0</v>
      </c>
      <c r="E20" s="375">
        <f t="shared" si="7"/>
        <v>0</v>
      </c>
      <c r="F20" s="779">
        <f>SUM(F21:F24)</f>
        <v>0</v>
      </c>
      <c r="G20" s="735">
        <f t="shared" si="7"/>
        <v>0</v>
      </c>
      <c r="I20" s="526" t="s">
        <v>12</v>
      </c>
      <c r="J20" s="375">
        <f>SUM(K20:L20)</f>
        <v>0</v>
      </c>
      <c r="K20" s="779">
        <f>SUM(K21:K24)</f>
        <v>0</v>
      </c>
      <c r="L20" s="735">
        <f>SUM(L21:L24)</f>
        <v>0</v>
      </c>
    </row>
    <row r="21" spans="1:12" ht="24.95" customHeight="1" x14ac:dyDescent="0.3">
      <c r="A21" s="372" t="s">
        <v>391</v>
      </c>
      <c r="B21" s="372">
        <f>SUM(C21:D21)</f>
        <v>0</v>
      </c>
      <c r="C21" s="726">
        <f>+'[27]16.โครงการ'!$S$634</f>
        <v>0</v>
      </c>
      <c r="D21" s="734">
        <f>+'[27]16.โครงการ'!$T$634</f>
        <v>0</v>
      </c>
      <c r="E21" s="372">
        <f>SUM(F21:G21)</f>
        <v>0</v>
      </c>
      <c r="F21" s="778">
        <f>+'[28]16.โครงการ'!$S$634</f>
        <v>0</v>
      </c>
      <c r="G21" s="734">
        <f>+'[28]16.โครงการ'!$T$634</f>
        <v>0</v>
      </c>
      <c r="I21" s="372" t="s">
        <v>391</v>
      </c>
      <c r="J21" s="372">
        <f>SUM(K21:L21)</f>
        <v>0</v>
      </c>
      <c r="K21" s="778">
        <f t="shared" ref="K21:L23" si="8">+F92</f>
        <v>0</v>
      </c>
      <c r="L21" s="734">
        <f t="shared" si="8"/>
        <v>0</v>
      </c>
    </row>
    <row r="22" spans="1:12" ht="24.95" customHeight="1" x14ac:dyDescent="0.3">
      <c r="A22" s="372" t="s">
        <v>392</v>
      </c>
      <c r="B22" s="372">
        <f>SUM(C22:D22)</f>
        <v>0</v>
      </c>
      <c r="C22" s="726">
        <f>+'[27]16.โครงการ'!$S$667</f>
        <v>0</v>
      </c>
      <c r="D22" s="734">
        <f>+'[27]16.โครงการ'!$T$667</f>
        <v>0</v>
      </c>
      <c r="E22" s="372">
        <f>SUM(F22:G22)</f>
        <v>0</v>
      </c>
      <c r="F22" s="778">
        <f>+'[28]16.โครงการ'!$S$667</f>
        <v>0</v>
      </c>
      <c r="G22" s="734">
        <f>+'[28]16.โครงการ'!$T$667</f>
        <v>0</v>
      </c>
      <c r="I22" s="372" t="s">
        <v>392</v>
      </c>
      <c r="J22" s="372">
        <f>SUM(K22:L22)</f>
        <v>0</v>
      </c>
      <c r="K22" s="778">
        <f t="shared" si="8"/>
        <v>0</v>
      </c>
      <c r="L22" s="734">
        <f t="shared" si="8"/>
        <v>0</v>
      </c>
    </row>
    <row r="23" spans="1:12" ht="24.95" customHeight="1" x14ac:dyDescent="0.3">
      <c r="A23" s="372" t="s">
        <v>393</v>
      </c>
      <c r="B23" s="372">
        <f>SUM(C23:D23)</f>
        <v>0</v>
      </c>
      <c r="C23" s="726">
        <f>+'[27]16.โครงการ'!$S$700</f>
        <v>0</v>
      </c>
      <c r="D23" s="734">
        <f>+'[27]16.โครงการ'!$T$700</f>
        <v>0</v>
      </c>
      <c r="E23" s="372">
        <f>SUM(F23:G23)</f>
        <v>0</v>
      </c>
      <c r="F23" s="778">
        <f>+'[28]16.โครงการ'!$S$700</f>
        <v>0</v>
      </c>
      <c r="G23" s="734">
        <f>+'[28]16.โครงการ'!$T$700</f>
        <v>0</v>
      </c>
      <c r="I23" s="372" t="s">
        <v>393</v>
      </c>
      <c r="J23" s="372">
        <f>SUM(K23:L23)</f>
        <v>0</v>
      </c>
      <c r="K23" s="778">
        <f t="shared" si="8"/>
        <v>0</v>
      </c>
      <c r="L23" s="734">
        <f t="shared" si="8"/>
        <v>0</v>
      </c>
    </row>
    <row r="24" spans="1:12" ht="24.95" customHeight="1" x14ac:dyDescent="0.3">
      <c r="A24" s="372" t="s">
        <v>394</v>
      </c>
      <c r="B24" s="372">
        <f>SUM(C24:D24)</f>
        <v>0</v>
      </c>
      <c r="C24" s="726">
        <f>+'[27]16.โครงการ'!$S$733</f>
        <v>0</v>
      </c>
      <c r="D24" s="734">
        <f>+'[27]16.โครงการ'!$T$733</f>
        <v>0</v>
      </c>
      <c r="E24" s="372">
        <f>SUM(F24:G24)</f>
        <v>0</v>
      </c>
      <c r="F24" s="778">
        <f>+'[28]16.โครงการ'!$S$733</f>
        <v>0</v>
      </c>
      <c r="G24" s="734">
        <f>+'[28]16.โครงการ'!$T$733</f>
        <v>0</v>
      </c>
      <c r="I24" s="372" t="s">
        <v>394</v>
      </c>
      <c r="J24" s="372">
        <f>SUM(K24:L24)</f>
        <v>0</v>
      </c>
      <c r="K24" s="778">
        <f>SUM(C24+F24+C58+F58+C95+F95+C132+F132+C168+F168)</f>
        <v>0</v>
      </c>
      <c r="L24" s="734">
        <f>+G95</f>
        <v>0</v>
      </c>
    </row>
    <row r="25" spans="1:12" ht="24.95" customHeight="1" x14ac:dyDescent="0.3">
      <c r="A25" s="377"/>
      <c r="B25" s="377"/>
      <c r="C25" s="780"/>
      <c r="D25" s="736"/>
      <c r="E25" s="377"/>
      <c r="F25" s="780"/>
      <c r="G25" s="736"/>
      <c r="I25" s="377"/>
      <c r="J25" s="377"/>
      <c r="K25" s="780"/>
      <c r="L25" s="736"/>
    </row>
    <row r="37" spans="1:7" x14ac:dyDescent="0.3">
      <c r="A37" s="3516" t="s">
        <v>0</v>
      </c>
      <c r="B37" s="3520" t="s">
        <v>1</v>
      </c>
      <c r="C37" s="3520"/>
      <c r="D37" s="3520"/>
      <c r="E37" s="3520" t="s">
        <v>3</v>
      </c>
      <c r="F37" s="3520"/>
      <c r="G37" s="3520"/>
    </row>
    <row r="38" spans="1:7" x14ac:dyDescent="0.3">
      <c r="A38" s="3517"/>
      <c r="B38" s="380" t="s">
        <v>28</v>
      </c>
      <c r="C38" s="775" t="s">
        <v>34</v>
      </c>
      <c r="D38" s="731" t="s">
        <v>62</v>
      </c>
      <c r="E38" s="380" t="s">
        <v>28</v>
      </c>
      <c r="F38" s="775" t="s">
        <v>34</v>
      </c>
      <c r="G38" s="731" t="s">
        <v>62</v>
      </c>
    </row>
    <row r="39" spans="1:7" ht="19.5" thickBot="1" x14ac:dyDescent="0.35">
      <c r="A39" s="525" t="s">
        <v>28</v>
      </c>
      <c r="B39" s="367">
        <f t="shared" ref="B39:G39" si="9">SUM(B40+B44+B54)</f>
        <v>0</v>
      </c>
      <c r="C39" s="776">
        <f t="shared" si="9"/>
        <v>0</v>
      </c>
      <c r="D39" s="737">
        <f t="shared" si="9"/>
        <v>0</v>
      </c>
      <c r="E39" s="367">
        <f t="shared" si="9"/>
        <v>0</v>
      </c>
      <c r="F39" s="776">
        <f t="shared" si="9"/>
        <v>0</v>
      </c>
      <c r="G39" s="732">
        <f t="shared" si="9"/>
        <v>0</v>
      </c>
    </row>
    <row r="40" spans="1:7" ht="19.5" thickTop="1" x14ac:dyDescent="0.3">
      <c r="A40" s="369" t="s">
        <v>7</v>
      </c>
      <c r="B40" s="370">
        <f t="shared" ref="B40:G40" si="10">SUM(B41:B42)</f>
        <v>0</v>
      </c>
      <c r="C40" s="777">
        <f t="shared" si="10"/>
        <v>0</v>
      </c>
      <c r="D40" s="733">
        <f t="shared" si="10"/>
        <v>0</v>
      </c>
      <c r="E40" s="370">
        <f t="shared" si="10"/>
        <v>0</v>
      </c>
      <c r="F40" s="777">
        <f t="shared" si="10"/>
        <v>0</v>
      </c>
      <c r="G40" s="733">
        <f t="shared" si="10"/>
        <v>0</v>
      </c>
    </row>
    <row r="41" spans="1:7" x14ac:dyDescent="0.3">
      <c r="A41" s="398" t="s">
        <v>8</v>
      </c>
      <c r="B41" s="372">
        <f>SUM(C41:D41)</f>
        <v>0</v>
      </c>
      <c r="C41" s="778">
        <f>+'[29]16.โครงการ'!$S$4</f>
        <v>0</v>
      </c>
      <c r="D41" s="734">
        <f>+'[29]16.โครงการ'!$T$4</f>
        <v>0</v>
      </c>
      <c r="E41" s="372">
        <f>SUM(F41:G41)</f>
        <v>0</v>
      </c>
      <c r="F41" s="778"/>
      <c r="G41" s="734"/>
    </row>
    <row r="42" spans="1:7" x14ac:dyDescent="0.3">
      <c r="A42" s="398" t="s">
        <v>306</v>
      </c>
      <c r="B42" s="372">
        <f>SUM(C42:D42)</f>
        <v>0</v>
      </c>
      <c r="C42" s="778">
        <f>+'[29]16.โครงการ'!$S$36</f>
        <v>0</v>
      </c>
      <c r="D42" s="734">
        <f>+'[29]16.โครงการ'!$T$36</f>
        <v>0</v>
      </c>
      <c r="E42" s="372">
        <f>SUM(F42:G42)</f>
        <v>0</v>
      </c>
      <c r="F42" s="778"/>
      <c r="G42" s="734"/>
    </row>
    <row r="43" spans="1:7" x14ac:dyDescent="0.3">
      <c r="A43" s="372"/>
      <c r="B43" s="372"/>
      <c r="C43" s="778"/>
      <c r="D43" s="734"/>
      <c r="E43" s="372"/>
      <c r="F43" s="778"/>
      <c r="G43" s="734"/>
    </row>
    <row r="44" spans="1:7" x14ac:dyDescent="0.3">
      <c r="A44" s="526" t="s">
        <v>9</v>
      </c>
      <c r="B44" s="375">
        <f>SUM(B45:B53)</f>
        <v>0</v>
      </c>
      <c r="C44" s="779">
        <f>SUM(C45:C53)</f>
        <v>0</v>
      </c>
      <c r="D44" s="735">
        <f>SUM(D45:D52)</f>
        <v>0</v>
      </c>
      <c r="E44" s="375">
        <f>SUM(E45:E50)</f>
        <v>0</v>
      </c>
      <c r="F44" s="779">
        <f>SUM(F45:F50)</f>
        <v>0</v>
      </c>
      <c r="G44" s="735">
        <f>SUM(G45:G50)</f>
        <v>0</v>
      </c>
    </row>
    <row r="45" spans="1:7" x14ac:dyDescent="0.3">
      <c r="A45" s="372" t="s">
        <v>308</v>
      </c>
      <c r="B45" s="372">
        <f t="shared" ref="B45:B53" si="11">SUM(C45:D45)</f>
        <v>0</v>
      </c>
      <c r="C45" s="778">
        <f>+'[29]16.โครงการ'!$S$69</f>
        <v>0</v>
      </c>
      <c r="D45" s="734">
        <f>+'[29]16.โครงการ'!$T$69</f>
        <v>0</v>
      </c>
      <c r="E45" s="372">
        <f t="shared" ref="E45:E52" si="12">SUM(F45:G45)</f>
        <v>0</v>
      </c>
      <c r="F45" s="778"/>
      <c r="G45" s="734"/>
    </row>
    <row r="46" spans="1:7" x14ac:dyDescent="0.3">
      <c r="A46" s="372" t="s">
        <v>309</v>
      </c>
      <c r="B46" s="372">
        <f t="shared" si="11"/>
        <v>0</v>
      </c>
      <c r="C46" s="778">
        <f>+'[29]16.โครงการ'!$S$102</f>
        <v>0</v>
      </c>
      <c r="D46" s="734">
        <f>+'[29]16.โครงการ'!$T$102</f>
        <v>0</v>
      </c>
      <c r="E46" s="372">
        <f t="shared" si="12"/>
        <v>0</v>
      </c>
      <c r="F46" s="778"/>
      <c r="G46" s="734"/>
    </row>
    <row r="47" spans="1:7" x14ac:dyDescent="0.3">
      <c r="A47" s="372" t="s">
        <v>310</v>
      </c>
      <c r="B47" s="372">
        <f t="shared" si="11"/>
        <v>0</v>
      </c>
      <c r="C47" s="778">
        <f>+'[29]16.โครงการ'!$S$135</f>
        <v>0</v>
      </c>
      <c r="D47" s="734">
        <f>+'[29]16.โครงการ'!$T$135</f>
        <v>0</v>
      </c>
      <c r="E47" s="372">
        <f t="shared" si="12"/>
        <v>0</v>
      </c>
      <c r="F47" s="778"/>
      <c r="G47" s="734"/>
    </row>
    <row r="48" spans="1:7" x14ac:dyDescent="0.3">
      <c r="A48" s="372" t="s">
        <v>311</v>
      </c>
      <c r="B48" s="372">
        <f t="shared" si="11"/>
        <v>0</v>
      </c>
      <c r="C48" s="778">
        <f>+'[29]16.โครงการ'!$S$168</f>
        <v>0</v>
      </c>
      <c r="D48" s="734">
        <f>+'[29]16.โครงการ'!$T$168</f>
        <v>0</v>
      </c>
      <c r="E48" s="372">
        <f t="shared" si="12"/>
        <v>0</v>
      </c>
      <c r="F48" s="778"/>
      <c r="G48" s="734"/>
    </row>
    <row r="49" spans="1:7" x14ac:dyDescent="0.3">
      <c r="A49" s="372" t="s">
        <v>312</v>
      </c>
      <c r="B49" s="372">
        <f t="shared" si="11"/>
        <v>0</v>
      </c>
      <c r="C49" s="778">
        <f>+'[29]16.โครงการ'!$S$201</f>
        <v>0</v>
      </c>
      <c r="D49" s="734">
        <f>+'[29]16.โครงการ'!$T$201</f>
        <v>0</v>
      </c>
      <c r="E49" s="372">
        <f t="shared" si="12"/>
        <v>0</v>
      </c>
      <c r="F49" s="778"/>
      <c r="G49" s="734"/>
    </row>
    <row r="50" spans="1:7" x14ac:dyDescent="0.3">
      <c r="A50" s="372" t="s">
        <v>313</v>
      </c>
      <c r="B50" s="372">
        <f t="shared" si="11"/>
        <v>0</v>
      </c>
      <c r="C50" s="778">
        <f>+'[29]16.โครงการ'!$S$498</f>
        <v>0</v>
      </c>
      <c r="D50" s="734">
        <f>+'[29]16.โครงการ'!$T$498</f>
        <v>0</v>
      </c>
      <c r="E50" s="372">
        <f t="shared" si="12"/>
        <v>0</v>
      </c>
      <c r="F50" s="778"/>
      <c r="G50" s="734"/>
    </row>
    <row r="51" spans="1:7" x14ac:dyDescent="0.3">
      <c r="A51" s="372" t="s">
        <v>314</v>
      </c>
      <c r="B51" s="372">
        <f t="shared" si="11"/>
        <v>0</v>
      </c>
      <c r="C51" s="778">
        <f>+'[29]16.โครงการ'!$S$531</f>
        <v>0</v>
      </c>
      <c r="D51" s="734">
        <f>+'[29]16.โครงการ'!$T$531</f>
        <v>0</v>
      </c>
      <c r="E51" s="372">
        <f t="shared" si="12"/>
        <v>0</v>
      </c>
      <c r="F51" s="778"/>
      <c r="G51" s="734"/>
    </row>
    <row r="52" spans="1:7" x14ac:dyDescent="0.3">
      <c r="A52" s="372" t="s">
        <v>315</v>
      </c>
      <c r="B52" s="372">
        <f t="shared" si="11"/>
        <v>0</v>
      </c>
      <c r="C52" s="778">
        <f>+'[29]16.โครงการ'!$S$564</f>
        <v>0</v>
      </c>
      <c r="D52" s="734">
        <f>+'[29]16.โครงการ'!$T$564</f>
        <v>0</v>
      </c>
      <c r="E52" s="372">
        <f t="shared" si="12"/>
        <v>0</v>
      </c>
      <c r="F52" s="778"/>
      <c r="G52" s="734"/>
    </row>
    <row r="53" spans="1:7" x14ac:dyDescent="0.3">
      <c r="A53" s="372" t="s">
        <v>390</v>
      </c>
      <c r="B53" s="372">
        <f t="shared" si="11"/>
        <v>0</v>
      </c>
      <c r="C53" s="778">
        <f>+'[29]16.โครงการ'!$S$595</f>
        <v>0</v>
      </c>
      <c r="D53" s="734">
        <f>+'[29]16.โครงการ'!$T$595</f>
        <v>0</v>
      </c>
      <c r="E53" s="372"/>
      <c r="F53" s="778"/>
      <c r="G53" s="734"/>
    </row>
    <row r="54" spans="1:7" x14ac:dyDescent="0.3">
      <c r="A54" s="526" t="s">
        <v>12</v>
      </c>
      <c r="B54" s="375">
        <f t="shared" ref="B54:G54" si="13">SUM(B55:B58)</f>
        <v>0</v>
      </c>
      <c r="C54" s="779">
        <f>SUM(C55:C58)</f>
        <v>0</v>
      </c>
      <c r="D54" s="735">
        <f t="shared" si="13"/>
        <v>0</v>
      </c>
      <c r="E54" s="375">
        <f t="shared" si="13"/>
        <v>0</v>
      </c>
      <c r="F54" s="779">
        <f t="shared" si="13"/>
        <v>0</v>
      </c>
      <c r="G54" s="735">
        <f t="shared" si="13"/>
        <v>0</v>
      </c>
    </row>
    <row r="55" spans="1:7" x14ac:dyDescent="0.3">
      <c r="A55" s="372" t="s">
        <v>391</v>
      </c>
      <c r="B55" s="372">
        <f>SUM(C55:D55)</f>
        <v>0</v>
      </c>
      <c r="C55" s="778">
        <f>+'[29]16.โครงการ'!$S$634</f>
        <v>0</v>
      </c>
      <c r="D55" s="734">
        <f>+'[29]16.โครงการ'!$T$634</f>
        <v>0</v>
      </c>
      <c r="E55" s="372">
        <f>SUM(F55:G55)</f>
        <v>0</v>
      </c>
      <c r="F55" s="778"/>
      <c r="G55" s="734"/>
    </row>
    <row r="56" spans="1:7" x14ac:dyDescent="0.3">
      <c r="A56" s="372" t="s">
        <v>392</v>
      </c>
      <c r="B56" s="372">
        <f>SUM(C56:D56)</f>
        <v>0</v>
      </c>
      <c r="C56" s="778">
        <f>+'[29]16.โครงการ'!$S$667</f>
        <v>0</v>
      </c>
      <c r="D56" s="734">
        <f>+'[29]16.โครงการ'!$T$667</f>
        <v>0</v>
      </c>
      <c r="E56" s="372">
        <f>SUM(F56:G56)</f>
        <v>0</v>
      </c>
      <c r="F56" s="778"/>
      <c r="G56" s="734"/>
    </row>
    <row r="57" spans="1:7" x14ac:dyDescent="0.3">
      <c r="A57" s="372" t="s">
        <v>393</v>
      </c>
      <c r="B57" s="372">
        <f>SUM(C57:D57)</f>
        <v>0</v>
      </c>
      <c r="C57" s="778">
        <f>+'[29]16.โครงการ'!$S$700</f>
        <v>0</v>
      </c>
      <c r="D57" s="734">
        <f>+'[29]16.โครงการ'!$T$700</f>
        <v>0</v>
      </c>
      <c r="E57" s="372">
        <f>SUM(F57:G57)</f>
        <v>0</v>
      </c>
      <c r="F57" s="778"/>
      <c r="G57" s="734"/>
    </row>
    <row r="58" spans="1:7" x14ac:dyDescent="0.3">
      <c r="A58" s="372" t="s">
        <v>394</v>
      </c>
      <c r="B58" s="372">
        <f>SUM(C58:D58)</f>
        <v>0</v>
      </c>
      <c r="C58" s="778">
        <f>+'[29]16.โครงการ'!$S$733</f>
        <v>0</v>
      </c>
      <c r="D58" s="734">
        <f>+'[29]16.โครงการ'!$T$733</f>
        <v>0</v>
      </c>
      <c r="E58" s="372">
        <f>SUM(F58:G58)</f>
        <v>0</v>
      </c>
      <c r="F58" s="778"/>
      <c r="G58" s="734"/>
    </row>
    <row r="59" spans="1:7" x14ac:dyDescent="0.3">
      <c r="A59" s="377"/>
      <c r="B59" s="377"/>
      <c r="C59" s="780"/>
      <c r="D59" s="736"/>
      <c r="E59" s="377"/>
      <c r="F59" s="780"/>
      <c r="G59" s="736"/>
    </row>
    <row r="74" spans="1:7" x14ac:dyDescent="0.3">
      <c r="A74" s="3516" t="s">
        <v>0</v>
      </c>
      <c r="B74" s="3520" t="s">
        <v>24</v>
      </c>
      <c r="C74" s="3520"/>
      <c r="D74" s="3520"/>
      <c r="E74" s="3520" t="s">
        <v>23</v>
      </c>
      <c r="F74" s="3520"/>
      <c r="G74" s="3520"/>
    </row>
    <row r="75" spans="1:7" x14ac:dyDescent="0.3">
      <c r="A75" s="3517"/>
      <c r="B75" s="380" t="s">
        <v>28</v>
      </c>
      <c r="C75" s="775" t="s">
        <v>34</v>
      </c>
      <c r="D75" s="731" t="s">
        <v>62</v>
      </c>
      <c r="E75" s="380" t="s">
        <v>28</v>
      </c>
      <c r="F75" s="775" t="s">
        <v>34</v>
      </c>
      <c r="G75" s="731" t="s">
        <v>62</v>
      </c>
    </row>
    <row r="76" spans="1:7" ht="19.5" thickBot="1" x14ac:dyDescent="0.35">
      <c r="A76" s="525" t="s">
        <v>28</v>
      </c>
      <c r="B76" s="367">
        <f t="shared" ref="B76:G76" si="14">SUM(B77+B81+B91)</f>
        <v>0</v>
      </c>
      <c r="C76" s="776">
        <f t="shared" si="14"/>
        <v>0</v>
      </c>
      <c r="D76" s="732">
        <f t="shared" si="14"/>
        <v>0</v>
      </c>
      <c r="E76" s="367">
        <f t="shared" si="14"/>
        <v>0</v>
      </c>
      <c r="F76" s="776">
        <f t="shared" si="14"/>
        <v>0</v>
      </c>
      <c r="G76" s="732">
        <f t="shared" si="14"/>
        <v>0</v>
      </c>
    </row>
    <row r="77" spans="1:7" ht="19.5" thickTop="1" x14ac:dyDescent="0.3">
      <c r="A77" s="369" t="s">
        <v>7</v>
      </c>
      <c r="B77" s="370">
        <f t="shared" ref="B77:G77" si="15">SUM(B78:B79)</f>
        <v>0</v>
      </c>
      <c r="C77" s="777">
        <f t="shared" si="15"/>
        <v>0</v>
      </c>
      <c r="D77" s="733">
        <f t="shared" si="15"/>
        <v>0</v>
      </c>
      <c r="E77" s="370">
        <f t="shared" si="15"/>
        <v>0</v>
      </c>
      <c r="F77" s="777">
        <f t="shared" si="15"/>
        <v>0</v>
      </c>
      <c r="G77" s="733">
        <f t="shared" si="15"/>
        <v>0</v>
      </c>
    </row>
    <row r="78" spans="1:7" x14ac:dyDescent="0.3">
      <c r="A78" s="398" t="s">
        <v>8</v>
      </c>
      <c r="B78" s="372">
        <f>SUM(C78:D78)</f>
        <v>0</v>
      </c>
      <c r="C78" s="778"/>
      <c r="D78" s="734"/>
      <c r="E78" s="372">
        <f>SUM(F78:G78)</f>
        <v>0</v>
      </c>
      <c r="F78" s="778">
        <f>+'[26]16.โครงการ'!$BI$4</f>
        <v>0</v>
      </c>
      <c r="G78" s="734">
        <f>+'[26]16.โครงการ'!$BJ$4</f>
        <v>0</v>
      </c>
    </row>
    <row r="79" spans="1:7" x14ac:dyDescent="0.3">
      <c r="A79" s="398" t="s">
        <v>306</v>
      </c>
      <c r="B79" s="372">
        <f>SUM(C79:D79)</f>
        <v>0</v>
      </c>
      <c r="C79" s="778"/>
      <c r="D79" s="734"/>
      <c r="E79" s="372">
        <f>SUM(F79:G79)</f>
        <v>0</v>
      </c>
      <c r="F79" s="778">
        <f>+'[26]16.โครงการ'!$BI$36</f>
        <v>0</v>
      </c>
      <c r="G79" s="734">
        <f>+'[26]16.โครงการ'!$BJ$36</f>
        <v>0</v>
      </c>
    </row>
    <row r="80" spans="1:7" x14ac:dyDescent="0.3">
      <c r="A80" s="372"/>
      <c r="B80" s="372"/>
      <c r="C80" s="778"/>
      <c r="D80" s="734"/>
      <c r="E80" s="372"/>
      <c r="F80" s="778"/>
      <c r="G80" s="734"/>
    </row>
    <row r="81" spans="1:7" x14ac:dyDescent="0.3">
      <c r="A81" s="526" t="s">
        <v>9</v>
      </c>
      <c r="B81" s="375">
        <f t="shared" ref="B81:G81" si="16">SUM(B82:B87)</f>
        <v>0</v>
      </c>
      <c r="C81" s="779">
        <f t="shared" si="16"/>
        <v>0</v>
      </c>
      <c r="D81" s="735">
        <f t="shared" si="16"/>
        <v>0</v>
      </c>
      <c r="E81" s="375">
        <f t="shared" si="16"/>
        <v>0</v>
      </c>
      <c r="F81" s="779">
        <f t="shared" si="16"/>
        <v>0</v>
      </c>
      <c r="G81" s="735">
        <f t="shared" si="16"/>
        <v>0</v>
      </c>
    </row>
    <row r="82" spans="1:7" x14ac:dyDescent="0.3">
      <c r="A82" s="372" t="s">
        <v>308</v>
      </c>
      <c r="B82" s="372">
        <f t="shared" ref="B82:B87" si="17">SUM(C82:D82)</f>
        <v>0</v>
      </c>
      <c r="C82" s="778"/>
      <c r="D82" s="734"/>
      <c r="E82" s="372">
        <f t="shared" ref="E82:E87" si="18">SUM(F82:G82)</f>
        <v>0</v>
      </c>
      <c r="F82" s="778">
        <f>+'[26]16.โครงการ'!$BI$69</f>
        <v>0</v>
      </c>
      <c r="G82" s="734">
        <f>+'[26]16.โครงการ'!$BJ$69</f>
        <v>0</v>
      </c>
    </row>
    <row r="83" spans="1:7" x14ac:dyDescent="0.3">
      <c r="A83" s="372" t="s">
        <v>309</v>
      </c>
      <c r="B83" s="372">
        <f t="shared" si="17"/>
        <v>0</v>
      </c>
      <c r="C83" s="778"/>
      <c r="D83" s="734"/>
      <c r="E83" s="372">
        <f t="shared" si="18"/>
        <v>0</v>
      </c>
      <c r="F83" s="778">
        <f>+'[26]16.โครงการ'!$BI$102</f>
        <v>0</v>
      </c>
      <c r="G83" s="734">
        <f>+'[26]16.โครงการ'!$BJ$102</f>
        <v>0</v>
      </c>
    </row>
    <row r="84" spans="1:7" x14ac:dyDescent="0.3">
      <c r="A84" s="372" t="s">
        <v>310</v>
      </c>
      <c r="B84" s="372">
        <f t="shared" si="17"/>
        <v>0</v>
      </c>
      <c r="C84" s="778"/>
      <c r="D84" s="734"/>
      <c r="E84" s="372">
        <f t="shared" si="18"/>
        <v>0</v>
      </c>
      <c r="F84" s="778">
        <f>+'[26]16.โครงการ'!$BI$135</f>
        <v>0</v>
      </c>
      <c r="G84" s="734">
        <f>+'[26]16.โครงการ'!$BJ$135</f>
        <v>0</v>
      </c>
    </row>
    <row r="85" spans="1:7" x14ac:dyDescent="0.3">
      <c r="A85" s="372" t="s">
        <v>311</v>
      </c>
      <c r="B85" s="372">
        <f t="shared" si="17"/>
        <v>0</v>
      </c>
      <c r="C85" s="778"/>
      <c r="D85" s="734"/>
      <c r="E85" s="372">
        <f t="shared" si="18"/>
        <v>0</v>
      </c>
      <c r="F85" s="778">
        <f>+'[26]16.โครงการ'!$BI$168</f>
        <v>0</v>
      </c>
      <c r="G85" s="734">
        <f>+'[26]16.โครงการ'!$BJ$168</f>
        <v>0</v>
      </c>
    </row>
    <row r="86" spans="1:7" x14ac:dyDescent="0.3">
      <c r="A86" s="372" t="s">
        <v>312</v>
      </c>
      <c r="B86" s="372">
        <f t="shared" si="17"/>
        <v>0</v>
      </c>
      <c r="C86" s="778"/>
      <c r="D86" s="734"/>
      <c r="E86" s="372">
        <f t="shared" si="18"/>
        <v>0</v>
      </c>
      <c r="F86" s="778">
        <f>+'[26]16.โครงการ'!$BI$201</f>
        <v>0</v>
      </c>
      <c r="G86" s="734">
        <f>+'[26]16.โครงการ'!$BJ$201</f>
        <v>0</v>
      </c>
    </row>
    <row r="87" spans="1:7" x14ac:dyDescent="0.3">
      <c r="A87" s="372" t="s">
        <v>313</v>
      </c>
      <c r="B87" s="372">
        <f t="shared" si="17"/>
        <v>0</v>
      </c>
      <c r="C87" s="778"/>
      <c r="D87" s="734"/>
      <c r="E87" s="372">
        <f t="shared" si="18"/>
        <v>0</v>
      </c>
      <c r="F87" s="778">
        <f>+'[26]16.โครงการ'!$BI$507</f>
        <v>0</v>
      </c>
      <c r="G87" s="734">
        <f>+'[26]16.โครงการ'!$BJ$507</f>
        <v>0</v>
      </c>
    </row>
    <row r="88" spans="1:7" x14ac:dyDescent="0.3">
      <c r="A88" s="372" t="s">
        <v>314</v>
      </c>
      <c r="B88" s="372"/>
      <c r="C88" s="778"/>
      <c r="D88" s="734"/>
      <c r="E88" s="372"/>
      <c r="F88" s="778">
        <f>+'[26]16.โครงการ'!$BI$537</f>
        <v>0</v>
      </c>
      <c r="G88" s="734">
        <f>+'[26]16.โครงการ'!$BJ$537</f>
        <v>0</v>
      </c>
    </row>
    <row r="89" spans="1:7" x14ac:dyDescent="0.3">
      <c r="A89" s="372" t="s">
        <v>315</v>
      </c>
      <c r="B89" s="372"/>
      <c r="C89" s="778"/>
      <c r="D89" s="734"/>
      <c r="E89" s="372"/>
      <c r="F89" s="778">
        <f>+'[26]16.โครงการ'!$BI$568</f>
        <v>0</v>
      </c>
      <c r="G89" s="734">
        <f>+'[26]16.โครงการ'!$BJ$568</f>
        <v>0</v>
      </c>
    </row>
    <row r="90" spans="1:7" x14ac:dyDescent="0.3">
      <c r="A90" s="372"/>
      <c r="B90" s="372"/>
      <c r="C90" s="778"/>
      <c r="D90" s="734"/>
      <c r="E90" s="372"/>
      <c r="F90" s="778"/>
      <c r="G90" s="734"/>
    </row>
    <row r="91" spans="1:7" x14ac:dyDescent="0.3">
      <c r="A91" s="526" t="s">
        <v>12</v>
      </c>
      <c r="B91" s="375">
        <f t="shared" ref="B91:G91" si="19">SUM(B92:B95)</f>
        <v>0</v>
      </c>
      <c r="C91" s="779">
        <f t="shared" si="19"/>
        <v>0</v>
      </c>
      <c r="D91" s="735">
        <f t="shared" si="19"/>
        <v>0</v>
      </c>
      <c r="E91" s="375">
        <f t="shared" si="19"/>
        <v>0</v>
      </c>
      <c r="F91" s="779">
        <f t="shared" si="19"/>
        <v>0</v>
      </c>
      <c r="G91" s="735">
        <f t="shared" si="19"/>
        <v>0</v>
      </c>
    </row>
    <row r="92" spans="1:7" x14ac:dyDescent="0.3">
      <c r="A92" s="372" t="s">
        <v>316</v>
      </c>
      <c r="B92" s="372">
        <f>SUM(C92:D92)</f>
        <v>0</v>
      </c>
      <c r="C92" s="778"/>
      <c r="D92" s="734"/>
      <c r="E92" s="372">
        <f>SUM(F92:G92)</f>
        <v>0</v>
      </c>
      <c r="F92" s="778">
        <f>+'[26]16.โครงการ'!$BI$631</f>
        <v>0</v>
      </c>
      <c r="G92" s="734">
        <f>+'[26]16.โครงการ'!$BJ$631</f>
        <v>0</v>
      </c>
    </row>
    <row r="93" spans="1:7" x14ac:dyDescent="0.3">
      <c r="A93" s="372" t="s">
        <v>317</v>
      </c>
      <c r="B93" s="372">
        <f>SUM(C93:D93)</f>
        <v>0</v>
      </c>
      <c r="C93" s="778"/>
      <c r="D93" s="734"/>
      <c r="E93" s="372">
        <f>SUM(F93:G93)</f>
        <v>0</v>
      </c>
      <c r="F93" s="778">
        <f>+'[26]16.โครงการ'!$BI$664</f>
        <v>0</v>
      </c>
      <c r="G93" s="734">
        <f>+'[26]16.โครงการ'!$BJ$664</f>
        <v>0</v>
      </c>
    </row>
    <row r="94" spans="1:7" x14ac:dyDescent="0.3">
      <c r="A94" s="372" t="s">
        <v>318</v>
      </c>
      <c r="B94" s="372">
        <f>SUM(C94:D94)</f>
        <v>0</v>
      </c>
      <c r="C94" s="778"/>
      <c r="D94" s="734"/>
      <c r="E94" s="372">
        <f>SUM(F94:G94)</f>
        <v>0</v>
      </c>
      <c r="F94" s="778">
        <f>+'[26]16.โครงการ'!$BI$697</f>
        <v>0</v>
      </c>
      <c r="G94" s="734">
        <f>+'[26]16.โครงการ'!$BJ$697</f>
        <v>0</v>
      </c>
    </row>
    <row r="95" spans="1:7" x14ac:dyDescent="0.3">
      <c r="A95" s="372" t="s">
        <v>319</v>
      </c>
      <c r="B95" s="372">
        <f>SUM(C95:D95)</f>
        <v>0</v>
      </c>
      <c r="C95" s="778"/>
      <c r="D95" s="734"/>
      <c r="E95" s="372">
        <f>SUM(F95:G95)</f>
        <v>0</v>
      </c>
      <c r="F95" s="778">
        <f>+'[26]16.โครงการ'!$BI$730</f>
        <v>0</v>
      </c>
      <c r="G95" s="734">
        <f>+'[26]16.โครงการ'!$BJ$730</f>
        <v>0</v>
      </c>
    </row>
    <row r="96" spans="1:7" x14ac:dyDescent="0.3">
      <c r="A96" s="377"/>
      <c r="B96" s="377"/>
      <c r="C96" s="780"/>
      <c r="D96" s="736"/>
      <c r="E96" s="377"/>
      <c r="F96" s="780"/>
      <c r="G96" s="736"/>
    </row>
    <row r="111" spans="1:7" x14ac:dyDescent="0.3">
      <c r="A111" s="3516" t="s">
        <v>0</v>
      </c>
      <c r="B111" s="3520" t="s">
        <v>4</v>
      </c>
      <c r="C111" s="3520"/>
      <c r="D111" s="3520"/>
      <c r="E111" s="3520" t="s">
        <v>20</v>
      </c>
      <c r="F111" s="3520"/>
      <c r="G111" s="3520"/>
    </row>
    <row r="112" spans="1:7" x14ac:dyDescent="0.3">
      <c r="A112" s="3517"/>
      <c r="B112" s="380" t="s">
        <v>28</v>
      </c>
      <c r="C112" s="775" t="s">
        <v>34</v>
      </c>
      <c r="D112" s="731" t="s">
        <v>62</v>
      </c>
      <c r="E112" s="380" t="s">
        <v>28</v>
      </c>
      <c r="F112" s="775" t="s">
        <v>34</v>
      </c>
      <c r="G112" s="731" t="s">
        <v>62</v>
      </c>
    </row>
    <row r="113" spans="1:7" ht="19.5" thickBot="1" x14ac:dyDescent="0.35">
      <c r="A113" s="525" t="s">
        <v>28</v>
      </c>
      <c r="B113" s="367">
        <f t="shared" ref="B113:G113" si="20">SUM(B114+B118+B128)</f>
        <v>0</v>
      </c>
      <c r="C113" s="776">
        <f t="shared" si="20"/>
        <v>0</v>
      </c>
      <c r="D113" s="732">
        <f t="shared" si="20"/>
        <v>0</v>
      </c>
      <c r="E113" s="367">
        <f t="shared" si="20"/>
        <v>0</v>
      </c>
      <c r="F113" s="776">
        <f t="shared" si="20"/>
        <v>0</v>
      </c>
      <c r="G113" s="732">
        <f t="shared" si="20"/>
        <v>0</v>
      </c>
    </row>
    <row r="114" spans="1:7" ht="19.5" thickTop="1" x14ac:dyDescent="0.3">
      <c r="A114" s="369" t="s">
        <v>7</v>
      </c>
      <c r="B114" s="370">
        <f t="shared" ref="B114:G114" si="21">SUM(B115:B116)</f>
        <v>0</v>
      </c>
      <c r="C114" s="777">
        <f t="shared" si="21"/>
        <v>0</v>
      </c>
      <c r="D114" s="733">
        <f t="shared" si="21"/>
        <v>0</v>
      </c>
      <c r="E114" s="370">
        <f t="shared" si="21"/>
        <v>0</v>
      </c>
      <c r="F114" s="777">
        <f t="shared" si="21"/>
        <v>0</v>
      </c>
      <c r="G114" s="733">
        <f t="shared" si="21"/>
        <v>0</v>
      </c>
    </row>
    <row r="115" spans="1:7" x14ac:dyDescent="0.3">
      <c r="A115" s="398" t="s">
        <v>8</v>
      </c>
      <c r="B115" s="372">
        <f>SUM(C115:D115)</f>
        <v>0</v>
      </c>
      <c r="C115" s="778">
        <f>+'[30]16.โครงการ'!$S$4</f>
        <v>0</v>
      </c>
      <c r="D115" s="734">
        <f>+'[15]16.โครงการ'!$T$4</f>
        <v>0</v>
      </c>
      <c r="E115" s="372">
        <f>SUM(F115:G115)</f>
        <v>0</v>
      </c>
      <c r="F115" s="778"/>
      <c r="G115" s="734"/>
    </row>
    <row r="116" spans="1:7" x14ac:dyDescent="0.3">
      <c r="A116" s="398" t="s">
        <v>306</v>
      </c>
      <c r="B116" s="372">
        <f>SUM(C116:D116)</f>
        <v>0</v>
      </c>
      <c r="C116" s="778">
        <f>+'[30]16.โครงการ'!$S$36</f>
        <v>0</v>
      </c>
      <c r="D116" s="734">
        <f>+'[30]16.โครงการ'!$T$36</f>
        <v>0</v>
      </c>
      <c r="E116" s="372">
        <f>SUM(F116:G116)</f>
        <v>0</v>
      </c>
      <c r="F116" s="778"/>
      <c r="G116" s="734"/>
    </row>
    <row r="117" spans="1:7" x14ac:dyDescent="0.3">
      <c r="A117" s="372"/>
      <c r="B117" s="372"/>
      <c r="C117" s="778"/>
      <c r="D117" s="734"/>
      <c r="E117" s="372"/>
      <c r="F117" s="778"/>
      <c r="G117" s="734"/>
    </row>
    <row r="118" spans="1:7" x14ac:dyDescent="0.3">
      <c r="A118" s="526" t="s">
        <v>9</v>
      </c>
      <c r="B118" s="375">
        <f>SUM(B119:B127)</f>
        <v>0</v>
      </c>
      <c r="C118" s="779">
        <f>SUM(C119:C127)</f>
        <v>0</v>
      </c>
      <c r="D118" s="735">
        <f>SUM(D119:D127)</f>
        <v>0</v>
      </c>
      <c r="E118" s="375">
        <f>SUM(E119:E124)</f>
        <v>0</v>
      </c>
      <c r="F118" s="779">
        <f>SUM(F119:F124)</f>
        <v>0</v>
      </c>
      <c r="G118" s="735">
        <f>SUM(G119:G124)</f>
        <v>0</v>
      </c>
    </row>
    <row r="119" spans="1:7" x14ac:dyDescent="0.3">
      <c r="A119" s="372" t="s">
        <v>308</v>
      </c>
      <c r="B119" s="372">
        <f t="shared" ref="B119:B127" si="22">SUM(C119:D119)</f>
        <v>0</v>
      </c>
      <c r="C119" s="778">
        <f>+'[30]16.โครงการ'!$S$69</f>
        <v>0</v>
      </c>
      <c r="D119" s="734">
        <f>+'[30]16.โครงการ'!$T$69</f>
        <v>0</v>
      </c>
      <c r="E119" s="372">
        <f t="shared" ref="E119:E126" si="23">SUM(F119:G119)</f>
        <v>0</v>
      </c>
      <c r="F119" s="778"/>
      <c r="G119" s="734"/>
    </row>
    <row r="120" spans="1:7" x14ac:dyDescent="0.3">
      <c r="A120" s="372" t="s">
        <v>309</v>
      </c>
      <c r="B120" s="372">
        <f t="shared" si="22"/>
        <v>0</v>
      </c>
      <c r="C120" s="778">
        <f>+'[30]16.โครงการ'!$S$168</f>
        <v>0</v>
      </c>
      <c r="D120" s="734">
        <f>+'[30]16.โครงการ'!$T$168</f>
        <v>0</v>
      </c>
      <c r="E120" s="372">
        <f t="shared" si="23"/>
        <v>0</v>
      </c>
      <c r="F120" s="778"/>
      <c r="G120" s="734"/>
    </row>
    <row r="121" spans="1:7" x14ac:dyDescent="0.3">
      <c r="A121" s="372" t="s">
        <v>310</v>
      </c>
      <c r="B121" s="372">
        <f t="shared" si="22"/>
        <v>0</v>
      </c>
      <c r="C121" s="778">
        <f>+'[30]16.โครงการ'!$S$201</f>
        <v>0</v>
      </c>
      <c r="D121" s="734">
        <f>+'[30]16.โครงการ'!$T$201</f>
        <v>0</v>
      </c>
      <c r="E121" s="372">
        <f t="shared" si="23"/>
        <v>0</v>
      </c>
      <c r="F121" s="778"/>
      <c r="G121" s="734"/>
    </row>
    <row r="122" spans="1:7" x14ac:dyDescent="0.3">
      <c r="A122" s="372" t="s">
        <v>311</v>
      </c>
      <c r="B122" s="372">
        <f t="shared" si="22"/>
        <v>0</v>
      </c>
      <c r="C122" s="778">
        <f>+'[30]16.โครงการ'!$S$234</f>
        <v>0</v>
      </c>
      <c r="D122" s="734">
        <f>+'[30]16.โครงการ'!$T$234</f>
        <v>0</v>
      </c>
      <c r="E122" s="372">
        <f t="shared" si="23"/>
        <v>0</v>
      </c>
      <c r="F122" s="778"/>
      <c r="G122" s="734"/>
    </row>
    <row r="123" spans="1:7" x14ac:dyDescent="0.3">
      <c r="A123" s="372" t="s">
        <v>312</v>
      </c>
      <c r="B123" s="372">
        <f t="shared" si="22"/>
        <v>0</v>
      </c>
      <c r="C123" s="778">
        <f>+'[30]16.โครงการ'!$S$267</f>
        <v>0</v>
      </c>
      <c r="D123" s="734">
        <f>+'[30]16.โครงการ'!$T$267</f>
        <v>0</v>
      </c>
      <c r="E123" s="372">
        <f t="shared" si="23"/>
        <v>0</v>
      </c>
      <c r="F123" s="778"/>
      <c r="G123" s="734"/>
    </row>
    <row r="124" spans="1:7" x14ac:dyDescent="0.3">
      <c r="A124" s="372" t="s">
        <v>313</v>
      </c>
      <c r="B124" s="372">
        <f t="shared" si="22"/>
        <v>0</v>
      </c>
      <c r="C124" s="778">
        <f>+'[30]16.โครงการ'!$S$300</f>
        <v>0</v>
      </c>
      <c r="D124" s="734">
        <f>+'[30]16.โครงการ'!$T$300</f>
        <v>0</v>
      </c>
      <c r="E124" s="372">
        <f t="shared" si="23"/>
        <v>0</v>
      </c>
      <c r="F124" s="778"/>
      <c r="G124" s="734"/>
    </row>
    <row r="125" spans="1:7" x14ac:dyDescent="0.3">
      <c r="A125" s="372" t="s">
        <v>314</v>
      </c>
      <c r="B125" s="372">
        <f t="shared" si="22"/>
        <v>0</v>
      </c>
      <c r="C125" s="778">
        <f>+'[30]16.โครงการ'!$S$333</f>
        <v>0</v>
      </c>
      <c r="D125" s="734">
        <f>+'[30]16.โครงการ'!$T$333</f>
        <v>0</v>
      </c>
      <c r="E125" s="372">
        <f t="shared" si="23"/>
        <v>0</v>
      </c>
      <c r="F125" s="778"/>
      <c r="G125" s="734"/>
    </row>
    <row r="126" spans="1:7" x14ac:dyDescent="0.3">
      <c r="A126" s="372" t="s">
        <v>315</v>
      </c>
      <c r="B126" s="372">
        <f t="shared" si="22"/>
        <v>0</v>
      </c>
      <c r="C126" s="778">
        <f>+'[30]16.โครงการ'!$S$366</f>
        <v>0</v>
      </c>
      <c r="D126" s="734">
        <f>+'[30]16.โครงการ'!$T$366</f>
        <v>0</v>
      </c>
      <c r="E126" s="372">
        <f t="shared" si="23"/>
        <v>0</v>
      </c>
      <c r="F126" s="778"/>
      <c r="G126" s="734"/>
    </row>
    <row r="127" spans="1:7" x14ac:dyDescent="0.3">
      <c r="A127" s="372" t="s">
        <v>390</v>
      </c>
      <c r="B127" s="372">
        <f t="shared" si="22"/>
        <v>0</v>
      </c>
      <c r="C127" s="778">
        <f>+'[30]16.โครงการ'!$S$410</f>
        <v>0</v>
      </c>
      <c r="D127" s="734">
        <f>+'[30]16.โครงการ'!$T$410</f>
        <v>0</v>
      </c>
      <c r="E127" s="372"/>
      <c r="F127" s="778"/>
      <c r="G127" s="734"/>
    </row>
    <row r="128" spans="1:7" x14ac:dyDescent="0.3">
      <c r="A128" s="526" t="s">
        <v>12</v>
      </c>
      <c r="B128" s="375">
        <f t="shared" ref="B128:G128" si="24">SUM(B129:B132)</f>
        <v>0</v>
      </c>
      <c r="C128" s="779">
        <f t="shared" si="24"/>
        <v>0</v>
      </c>
      <c r="D128" s="735">
        <f t="shared" si="24"/>
        <v>0</v>
      </c>
      <c r="E128" s="375">
        <f t="shared" si="24"/>
        <v>0</v>
      </c>
      <c r="F128" s="779">
        <f t="shared" si="24"/>
        <v>0</v>
      </c>
      <c r="G128" s="735">
        <f t="shared" si="24"/>
        <v>0</v>
      </c>
    </row>
    <row r="129" spans="1:7" x14ac:dyDescent="0.3">
      <c r="A129" s="372" t="s">
        <v>391</v>
      </c>
      <c r="B129" s="372">
        <f>SUM(C129:D129)</f>
        <v>0</v>
      </c>
      <c r="C129" s="778">
        <f>+'[30]16.โครงการ'!$R$447</f>
        <v>0</v>
      </c>
      <c r="D129" s="734">
        <f>+'[30]16.โครงการ'!$T$447</f>
        <v>0</v>
      </c>
      <c r="E129" s="372">
        <f>SUM(F129:G129)</f>
        <v>0</v>
      </c>
      <c r="F129" s="778"/>
      <c r="G129" s="734"/>
    </row>
    <row r="130" spans="1:7" x14ac:dyDescent="0.3">
      <c r="A130" s="372" t="s">
        <v>392</v>
      </c>
      <c r="B130" s="372">
        <f>SUM(C130:D130)</f>
        <v>0</v>
      </c>
      <c r="C130" s="778">
        <f>+'[30]16.โครงการ'!$S$480</f>
        <v>0</v>
      </c>
      <c r="D130" s="734">
        <f>+'[30]16.โครงการ'!$T$480</f>
        <v>0</v>
      </c>
      <c r="E130" s="372">
        <f>SUM(F130:G130)</f>
        <v>0</v>
      </c>
      <c r="F130" s="778"/>
      <c r="G130" s="734"/>
    </row>
    <row r="131" spans="1:7" x14ac:dyDescent="0.3">
      <c r="A131" s="372" t="s">
        <v>393</v>
      </c>
      <c r="B131" s="372">
        <f>SUM(C131:D131)</f>
        <v>0</v>
      </c>
      <c r="C131" s="778">
        <f>+'[30]16.โครงการ'!$S$513</f>
        <v>0</v>
      </c>
      <c r="D131" s="734">
        <f>+'[30]16.โครงการ'!$T$513</f>
        <v>0</v>
      </c>
      <c r="E131" s="372">
        <f>SUM(F131:G131)</f>
        <v>0</v>
      </c>
      <c r="F131" s="778"/>
      <c r="G131" s="734"/>
    </row>
    <row r="132" spans="1:7" x14ac:dyDescent="0.3">
      <c r="A132" s="372" t="s">
        <v>394</v>
      </c>
      <c r="B132" s="372">
        <f>SUM(C132:D132)</f>
        <v>0</v>
      </c>
      <c r="C132" s="778">
        <f>+'[30]16.โครงการ'!$S$546</f>
        <v>0</v>
      </c>
      <c r="D132" s="734">
        <f>+'[30]16.โครงการ'!$T$546</f>
        <v>0</v>
      </c>
      <c r="E132" s="372">
        <f>SUM(F132:G132)</f>
        <v>0</v>
      </c>
      <c r="F132" s="778"/>
      <c r="G132" s="734"/>
    </row>
    <row r="133" spans="1:7" x14ac:dyDescent="0.3">
      <c r="A133" s="377"/>
      <c r="B133" s="377"/>
      <c r="C133" s="780"/>
      <c r="D133" s="736"/>
      <c r="E133" s="377"/>
      <c r="F133" s="780"/>
      <c r="G133" s="736"/>
    </row>
    <row r="148" spans="1:7" x14ac:dyDescent="0.3">
      <c r="A148" s="3516" t="s">
        <v>0</v>
      </c>
      <c r="B148" s="3520" t="s">
        <v>5</v>
      </c>
      <c r="C148" s="3520"/>
      <c r="D148" s="3520"/>
      <c r="E148" s="3520" t="s">
        <v>21</v>
      </c>
      <c r="F148" s="3520"/>
      <c r="G148" s="3520"/>
    </row>
    <row r="149" spans="1:7" x14ac:dyDescent="0.3">
      <c r="A149" s="3517"/>
      <c r="B149" s="380" t="s">
        <v>28</v>
      </c>
      <c r="C149" s="775" t="s">
        <v>34</v>
      </c>
      <c r="D149" s="731" t="s">
        <v>62</v>
      </c>
      <c r="E149" s="380" t="s">
        <v>28</v>
      </c>
      <c r="F149" s="775" t="s">
        <v>34</v>
      </c>
      <c r="G149" s="731" t="s">
        <v>62</v>
      </c>
    </row>
    <row r="150" spans="1:7" ht="19.5" thickBot="1" x14ac:dyDescent="0.35">
      <c r="A150" s="525" t="s">
        <v>28</v>
      </c>
      <c r="B150" s="367">
        <f t="shared" ref="B150:G150" si="25">SUM(B151+B156+B164)</f>
        <v>0</v>
      </c>
      <c r="C150" s="776">
        <f t="shared" si="25"/>
        <v>0</v>
      </c>
      <c r="D150" s="732">
        <f t="shared" si="25"/>
        <v>0</v>
      </c>
      <c r="E150" s="367">
        <f t="shared" si="25"/>
        <v>0</v>
      </c>
      <c r="F150" s="776">
        <f t="shared" si="25"/>
        <v>0</v>
      </c>
      <c r="G150" s="732">
        <f t="shared" si="25"/>
        <v>0</v>
      </c>
    </row>
    <row r="151" spans="1:7" ht="19.5" thickTop="1" x14ac:dyDescent="0.3">
      <c r="A151" s="369" t="s">
        <v>7</v>
      </c>
      <c r="B151" s="370">
        <f t="shared" ref="B151:G151" si="26">SUM(B152:B153)</f>
        <v>0</v>
      </c>
      <c r="C151" s="777">
        <f t="shared" si="26"/>
        <v>0</v>
      </c>
      <c r="D151" s="733">
        <f t="shared" si="26"/>
        <v>0</v>
      </c>
      <c r="E151" s="370">
        <f t="shared" si="26"/>
        <v>0</v>
      </c>
      <c r="F151" s="777">
        <f t="shared" si="26"/>
        <v>0</v>
      </c>
      <c r="G151" s="733">
        <f t="shared" si="26"/>
        <v>0</v>
      </c>
    </row>
    <row r="152" spans="1:7" x14ac:dyDescent="0.3">
      <c r="A152" s="398" t="s">
        <v>8</v>
      </c>
      <c r="B152" s="372">
        <f>SUM(C152:D152)</f>
        <v>0</v>
      </c>
      <c r="C152" s="778"/>
      <c r="D152" s="734"/>
      <c r="E152" s="372">
        <f>SUM(F152:G152)</f>
        <v>0</v>
      </c>
      <c r="F152" s="778">
        <f>'[31]15.โครงการ'!$S$4</f>
        <v>0</v>
      </c>
      <c r="G152" s="734">
        <f>'[31]15.โครงการ'!$T$4</f>
        <v>0</v>
      </c>
    </row>
    <row r="153" spans="1:7" x14ac:dyDescent="0.3">
      <c r="A153" s="398" t="s">
        <v>306</v>
      </c>
      <c r="B153" s="372">
        <f>SUM(C153:D153)</f>
        <v>0</v>
      </c>
      <c r="C153" s="778"/>
      <c r="D153" s="734"/>
      <c r="E153" s="372">
        <f>SUM(F153:G153)</f>
        <v>0</v>
      </c>
      <c r="F153" s="778">
        <f>'[31]15.โครงการ'!$S$36</f>
        <v>0</v>
      </c>
      <c r="G153" s="734">
        <f>'[31]15.โครงการ'!$T$36</f>
        <v>0</v>
      </c>
    </row>
    <row r="154" spans="1:7" x14ac:dyDescent="0.3">
      <c r="A154" s="372"/>
      <c r="B154" s="372"/>
      <c r="C154" s="778"/>
      <c r="D154" s="734"/>
      <c r="E154" s="372"/>
      <c r="F154" s="778"/>
      <c r="G154" s="734"/>
    </row>
    <row r="155" spans="1:7" x14ac:dyDescent="0.3">
      <c r="A155" s="526" t="s">
        <v>9</v>
      </c>
      <c r="B155" s="375">
        <f t="shared" ref="B155:G155" si="27">SUM(B156:B161)</f>
        <v>0</v>
      </c>
      <c r="C155" s="779">
        <f t="shared" si="27"/>
        <v>0</v>
      </c>
      <c r="D155" s="735">
        <f t="shared" si="27"/>
        <v>0</v>
      </c>
      <c r="E155" s="375">
        <f>SUM(E156:E161)</f>
        <v>0</v>
      </c>
      <c r="F155" s="779">
        <f t="shared" si="27"/>
        <v>0</v>
      </c>
      <c r="G155" s="735">
        <f t="shared" si="27"/>
        <v>0</v>
      </c>
    </row>
    <row r="156" spans="1:7" x14ac:dyDescent="0.3">
      <c r="A156" s="372" t="s">
        <v>308</v>
      </c>
      <c r="B156" s="372">
        <f t="shared" ref="B156:B161" si="28">SUM(C156:D156)</f>
        <v>0</v>
      </c>
      <c r="C156" s="778"/>
      <c r="D156" s="734"/>
      <c r="E156" s="372">
        <f t="shared" ref="E156:E163" si="29">SUM(F156:G156)</f>
        <v>0</v>
      </c>
      <c r="F156" s="778">
        <f>'[31]15.โครงการ'!$S$69</f>
        <v>0</v>
      </c>
      <c r="G156" s="734">
        <f>'[31]15.โครงการ'!$T$69</f>
        <v>0</v>
      </c>
    </row>
    <row r="157" spans="1:7" x14ac:dyDescent="0.3">
      <c r="A157" s="372" t="s">
        <v>309</v>
      </c>
      <c r="B157" s="372">
        <f t="shared" si="28"/>
        <v>0</v>
      </c>
      <c r="C157" s="778"/>
      <c r="D157" s="734"/>
      <c r="E157" s="372">
        <f t="shared" si="29"/>
        <v>0</v>
      </c>
      <c r="F157" s="778">
        <f>'[31]15.โครงการ'!$S$168</f>
        <v>0</v>
      </c>
      <c r="G157" s="734">
        <f>'[31]15.โครงการ'!$T$168</f>
        <v>0</v>
      </c>
    </row>
    <row r="158" spans="1:7" x14ac:dyDescent="0.3">
      <c r="A158" s="372" t="s">
        <v>310</v>
      </c>
      <c r="B158" s="372">
        <f t="shared" si="28"/>
        <v>0</v>
      </c>
      <c r="C158" s="778"/>
      <c r="D158" s="734"/>
      <c r="E158" s="372">
        <f t="shared" si="29"/>
        <v>0</v>
      </c>
      <c r="F158" s="778">
        <f>'[31]15.โครงการ'!$S$201</f>
        <v>0</v>
      </c>
      <c r="G158" s="734">
        <f>'[31]15.โครงการ'!$T$201</f>
        <v>0</v>
      </c>
    </row>
    <row r="159" spans="1:7" x14ac:dyDescent="0.3">
      <c r="A159" s="372" t="s">
        <v>311</v>
      </c>
      <c r="B159" s="372">
        <f t="shared" si="28"/>
        <v>0</v>
      </c>
      <c r="C159" s="778"/>
      <c r="D159" s="734"/>
      <c r="E159" s="372">
        <f t="shared" si="29"/>
        <v>0</v>
      </c>
      <c r="F159" s="778">
        <f>'[31]15.โครงการ'!$S$234</f>
        <v>0</v>
      </c>
      <c r="G159" s="734">
        <f>'[31]15.โครงการ'!$T$234</f>
        <v>0</v>
      </c>
    </row>
    <row r="160" spans="1:7" x14ac:dyDescent="0.3">
      <c r="A160" s="372" t="s">
        <v>312</v>
      </c>
      <c r="B160" s="372">
        <f t="shared" si="28"/>
        <v>0</v>
      </c>
      <c r="C160" s="778"/>
      <c r="D160" s="734"/>
      <c r="E160" s="372">
        <f t="shared" si="29"/>
        <v>0</v>
      </c>
      <c r="F160" s="778">
        <f>'[31]15.โครงการ'!$S$267</f>
        <v>0</v>
      </c>
      <c r="G160" s="734">
        <f>'[31]15.โครงการ'!$T$267</f>
        <v>0</v>
      </c>
    </row>
    <row r="161" spans="1:7" x14ac:dyDescent="0.3">
      <c r="A161" s="372" t="s">
        <v>313</v>
      </c>
      <c r="B161" s="372">
        <f t="shared" si="28"/>
        <v>0</v>
      </c>
      <c r="C161" s="778"/>
      <c r="D161" s="734"/>
      <c r="E161" s="372">
        <f t="shared" si="29"/>
        <v>0</v>
      </c>
      <c r="F161" s="778">
        <f>'[31]15.โครงการ'!$S$300</f>
        <v>0</v>
      </c>
      <c r="G161" s="734">
        <f>'[31]15.โครงการ'!$T$300</f>
        <v>0</v>
      </c>
    </row>
    <row r="162" spans="1:7" x14ac:dyDescent="0.3">
      <c r="A162" s="372" t="s">
        <v>314</v>
      </c>
      <c r="B162" s="372"/>
      <c r="C162" s="778"/>
      <c r="D162" s="734"/>
      <c r="E162" s="372">
        <f t="shared" si="29"/>
        <v>0</v>
      </c>
      <c r="F162" s="778">
        <f>'[31]15.โครงการ'!$S$333</f>
        <v>0</v>
      </c>
      <c r="G162" s="734">
        <f>'[31]15.โครงการ'!$T$333</f>
        <v>0</v>
      </c>
    </row>
    <row r="163" spans="1:7" x14ac:dyDescent="0.3">
      <c r="A163" s="372" t="s">
        <v>315</v>
      </c>
      <c r="B163" s="372"/>
      <c r="C163" s="778"/>
      <c r="D163" s="734"/>
      <c r="E163" s="372">
        <f t="shared" si="29"/>
        <v>0</v>
      </c>
      <c r="F163" s="778">
        <f>'[31]15.โครงการ'!$S$366</f>
        <v>0</v>
      </c>
      <c r="G163" s="734">
        <f>'[31]15.โครงการ'!$T$366</f>
        <v>0</v>
      </c>
    </row>
    <row r="164" spans="1:7" x14ac:dyDescent="0.3">
      <c r="A164" s="372"/>
      <c r="B164" s="372"/>
      <c r="C164" s="778"/>
      <c r="D164" s="734"/>
      <c r="E164" s="372"/>
      <c r="F164" s="778"/>
      <c r="G164" s="734"/>
    </row>
    <row r="165" spans="1:7" x14ac:dyDescent="0.3">
      <c r="A165" s="526" t="s">
        <v>12</v>
      </c>
      <c r="B165" s="375">
        <f t="shared" ref="B165:G165" si="30">SUM(B166:B169)</f>
        <v>0</v>
      </c>
      <c r="C165" s="779">
        <f t="shared" si="30"/>
        <v>0</v>
      </c>
      <c r="D165" s="735">
        <f t="shared" si="30"/>
        <v>0</v>
      </c>
      <c r="E165" s="375">
        <f t="shared" si="30"/>
        <v>0</v>
      </c>
      <c r="F165" s="779">
        <f t="shared" si="30"/>
        <v>0</v>
      </c>
      <c r="G165" s="735">
        <f t="shared" si="30"/>
        <v>0</v>
      </c>
    </row>
    <row r="166" spans="1:7" x14ac:dyDescent="0.3">
      <c r="A166" s="372" t="s">
        <v>316</v>
      </c>
      <c r="B166" s="372">
        <f>SUM(C166:D166)</f>
        <v>0</v>
      </c>
      <c r="C166" s="778"/>
      <c r="D166" s="734"/>
      <c r="E166" s="372">
        <f>SUM(F166:G166)</f>
        <v>0</v>
      </c>
      <c r="F166" s="778">
        <f>'[31]15.โครงการ'!$S$399</f>
        <v>0</v>
      </c>
      <c r="G166" s="734">
        <f>'[31]15.โครงการ'!$T$399</f>
        <v>0</v>
      </c>
    </row>
    <row r="167" spans="1:7" x14ac:dyDescent="0.3">
      <c r="A167" s="372" t="s">
        <v>317</v>
      </c>
      <c r="B167" s="372">
        <f>SUM(C167:D167)</f>
        <v>0</v>
      </c>
      <c r="C167" s="778"/>
      <c r="D167" s="734"/>
      <c r="E167" s="372">
        <f>SUM(F167:G167)</f>
        <v>0</v>
      </c>
      <c r="F167" s="778">
        <f>'[31]15.โครงการ'!$S$432</f>
        <v>0</v>
      </c>
      <c r="G167" s="734">
        <f>'[31]15.โครงการ'!$T$432</f>
        <v>0</v>
      </c>
    </row>
    <row r="168" spans="1:7" x14ac:dyDescent="0.3">
      <c r="A168" s="372" t="s">
        <v>318</v>
      </c>
      <c r="B168" s="372">
        <f>SUM(C168:D168)</f>
        <v>0</v>
      </c>
      <c r="C168" s="778"/>
      <c r="D168" s="734"/>
      <c r="E168" s="372">
        <f>SUM(F168:G168)</f>
        <v>0</v>
      </c>
      <c r="F168" s="778">
        <f>'[31]15.โครงการ'!$S$465</f>
        <v>0</v>
      </c>
      <c r="G168" s="734">
        <f>'[31]15.โครงการ'!$T$465</f>
        <v>0</v>
      </c>
    </row>
    <row r="169" spans="1:7" x14ac:dyDescent="0.3">
      <c r="A169" s="372" t="s">
        <v>319</v>
      </c>
      <c r="B169" s="372">
        <f>SUM(C169:D169)</f>
        <v>0</v>
      </c>
      <c r="C169" s="778"/>
      <c r="D169" s="734"/>
      <c r="E169" s="372">
        <f>SUM(F169:G169)</f>
        <v>0</v>
      </c>
      <c r="F169" s="778">
        <f>'[31]15.โครงการ'!$S$498</f>
        <v>0</v>
      </c>
      <c r="G169" s="734">
        <f>'[31]15.โครงการ'!$T$498</f>
        <v>0</v>
      </c>
    </row>
    <row r="170" spans="1:7" x14ac:dyDescent="0.3">
      <c r="A170" s="377"/>
      <c r="B170" s="377"/>
      <c r="C170" s="780"/>
      <c r="D170" s="736"/>
      <c r="E170" s="377"/>
      <c r="F170" s="780"/>
      <c r="G170" s="736"/>
    </row>
  </sheetData>
  <mergeCells count="17">
    <mergeCell ref="A37:A38"/>
    <mergeCell ref="B37:D37"/>
    <mergeCell ref="E37:G37"/>
    <mergeCell ref="A148:A149"/>
    <mergeCell ref="B148:D148"/>
    <mergeCell ref="E148:G148"/>
    <mergeCell ref="A74:A75"/>
    <mergeCell ref="B74:D74"/>
    <mergeCell ref="E74:G74"/>
    <mergeCell ref="A111:A112"/>
    <mergeCell ref="B111:D111"/>
    <mergeCell ref="E111:G111"/>
    <mergeCell ref="A3:A4"/>
    <mergeCell ref="B3:D3"/>
    <mergeCell ref="E3:G3"/>
    <mergeCell ref="I3:I4"/>
    <mergeCell ref="J3:L3"/>
  </mergeCells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3CEFF-F134-463B-B1B5-9BAD588FF433}">
  <sheetPr>
    <tabColor theme="9" tint="-0.499984740745262"/>
  </sheetPr>
  <dimension ref="A1:T170"/>
  <sheetViews>
    <sheetView zoomScaleNormal="100" workbookViewId="0">
      <selection sqref="A1:XFD1048576"/>
    </sheetView>
  </sheetViews>
  <sheetFormatPr defaultColWidth="9.140625" defaultRowHeight="18.75" x14ac:dyDescent="0.3"/>
  <cols>
    <col min="1" max="1" width="18.140625" style="339" customWidth="1"/>
    <col min="2" max="2" width="9" style="339" customWidth="1"/>
    <col min="3" max="3" width="11.28515625" style="339" customWidth="1"/>
    <col min="4" max="7" width="9" style="339" customWidth="1"/>
    <col min="8" max="8" width="9.140625" style="339"/>
    <col min="9" max="9" width="23.28515625" style="339" customWidth="1"/>
    <col min="10" max="10" width="9.7109375" style="339" customWidth="1"/>
    <col min="11" max="11" width="10.28515625" style="339" customWidth="1"/>
    <col min="12" max="12" width="9.28515625" style="339" customWidth="1"/>
    <col min="13" max="13" width="16.42578125" style="339" customWidth="1"/>
    <col min="14" max="14" width="10.42578125" style="339" customWidth="1"/>
    <col min="15" max="15" width="10" style="339" bestFit="1" customWidth="1"/>
    <col min="16" max="16" width="11" style="339" bestFit="1" customWidth="1"/>
    <col min="17" max="17" width="10.85546875" style="339" customWidth="1"/>
    <col min="18" max="16384" width="9.140625" style="339"/>
  </cols>
  <sheetData>
    <row r="1" spans="1:20" x14ac:dyDescent="0.3">
      <c r="A1" s="342" t="s">
        <v>955</v>
      </c>
      <c r="L1" s="382"/>
      <c r="N1" s="382"/>
      <c r="Q1" s="520"/>
      <c r="R1" s="520"/>
      <c r="S1" s="521"/>
      <c r="T1" s="522"/>
    </row>
    <row r="2" spans="1:20" x14ac:dyDescent="0.3">
      <c r="N2" s="379"/>
      <c r="Q2" s="520"/>
      <c r="R2" s="520"/>
      <c r="S2" s="523"/>
      <c r="T2" s="520"/>
    </row>
    <row r="3" spans="1:20" ht="24.95" customHeight="1" x14ac:dyDescent="0.3">
      <c r="A3" s="3516" t="s">
        <v>0</v>
      </c>
      <c r="B3" s="3520" t="s">
        <v>6</v>
      </c>
      <c r="C3" s="3520"/>
      <c r="D3" s="3520"/>
      <c r="E3" s="3520" t="s">
        <v>2</v>
      </c>
      <c r="F3" s="3520"/>
      <c r="G3" s="3520"/>
      <c r="I3" s="3516" t="s">
        <v>0</v>
      </c>
      <c r="J3" s="3520" t="s">
        <v>28</v>
      </c>
      <c r="K3" s="3520"/>
      <c r="L3" s="3520"/>
      <c r="N3" s="379"/>
      <c r="Q3" s="520"/>
      <c r="R3" s="520"/>
      <c r="S3" s="520"/>
      <c r="T3" s="520"/>
    </row>
    <row r="4" spans="1:20" ht="24.95" customHeight="1" x14ac:dyDescent="0.3">
      <c r="A4" s="3517"/>
      <c r="B4" s="380" t="s">
        <v>28</v>
      </c>
      <c r="C4" s="775" t="s">
        <v>34</v>
      </c>
      <c r="D4" s="731" t="s">
        <v>62</v>
      </c>
      <c r="E4" s="380" t="s">
        <v>28</v>
      </c>
      <c r="F4" s="775" t="s">
        <v>34</v>
      </c>
      <c r="G4" s="731" t="s">
        <v>62</v>
      </c>
      <c r="I4" s="3517"/>
      <c r="J4" s="380" t="s">
        <v>28</v>
      </c>
      <c r="K4" s="775" t="s">
        <v>34</v>
      </c>
      <c r="L4" s="731" t="s">
        <v>62</v>
      </c>
      <c r="N4" s="379"/>
      <c r="Q4" s="520"/>
    </row>
    <row r="5" spans="1:20" ht="24.95" customHeight="1" thickBot="1" x14ac:dyDescent="0.35">
      <c r="A5" s="525" t="s">
        <v>28</v>
      </c>
      <c r="B5" s="367">
        <v>0</v>
      </c>
      <c r="C5" s="776">
        <v>0</v>
      </c>
      <c r="D5" s="732">
        <v>0</v>
      </c>
      <c r="E5" s="367">
        <v>0</v>
      </c>
      <c r="F5" s="776">
        <v>0</v>
      </c>
      <c r="G5" s="732">
        <v>0</v>
      </c>
      <c r="I5" s="525" t="s">
        <v>28</v>
      </c>
      <c r="J5" s="367">
        <v>26930</v>
      </c>
      <c r="K5" s="776">
        <v>18240</v>
      </c>
      <c r="L5" s="732">
        <v>8690</v>
      </c>
      <c r="N5" s="524"/>
      <c r="Q5" s="520"/>
    </row>
    <row r="6" spans="1:20" s="342" customFormat="1" ht="24.95" customHeight="1" thickTop="1" x14ac:dyDescent="0.3">
      <c r="A6" s="369" t="s">
        <v>7</v>
      </c>
      <c r="B6" s="370">
        <v>0</v>
      </c>
      <c r="C6" s="777">
        <v>0</v>
      </c>
      <c r="D6" s="733">
        <v>0</v>
      </c>
      <c r="E6" s="370">
        <v>0</v>
      </c>
      <c r="F6" s="777">
        <v>0</v>
      </c>
      <c r="G6" s="733">
        <v>0</v>
      </c>
      <c r="I6" s="369" t="s">
        <v>7</v>
      </c>
      <c r="J6" s="370">
        <v>0</v>
      </c>
      <c r="K6" s="777">
        <v>0</v>
      </c>
      <c r="L6" s="733">
        <v>0</v>
      </c>
      <c r="N6" s="379"/>
      <c r="O6" s="339"/>
      <c r="P6" s="339"/>
      <c r="Q6" s="339"/>
    </row>
    <row r="7" spans="1:20" ht="24.95" customHeight="1" x14ac:dyDescent="0.3">
      <c r="A7" s="398" t="s">
        <v>8</v>
      </c>
      <c r="B7" s="372">
        <v>0</v>
      </c>
      <c r="C7" s="726">
        <v>0</v>
      </c>
      <c r="D7" s="734">
        <v>0</v>
      </c>
      <c r="E7" s="372">
        <v>0</v>
      </c>
      <c r="F7" s="778">
        <v>0</v>
      </c>
      <c r="G7" s="734">
        <v>0</v>
      </c>
      <c r="I7" s="398" t="s">
        <v>8</v>
      </c>
      <c r="J7" s="372">
        <v>0</v>
      </c>
      <c r="K7" s="778">
        <v>0</v>
      </c>
      <c r="L7" s="734">
        <v>0</v>
      </c>
      <c r="N7" s="379"/>
    </row>
    <row r="8" spans="1:20" ht="24.95" customHeight="1" x14ac:dyDescent="0.3">
      <c r="A8" s="398" t="s">
        <v>306</v>
      </c>
      <c r="B8" s="372">
        <v>0</v>
      </c>
      <c r="C8" s="726">
        <v>0</v>
      </c>
      <c r="D8" s="734">
        <v>0</v>
      </c>
      <c r="E8" s="372">
        <v>0</v>
      </c>
      <c r="F8" s="778">
        <v>0</v>
      </c>
      <c r="G8" s="734">
        <v>0</v>
      </c>
      <c r="I8" s="398" t="s">
        <v>306</v>
      </c>
      <c r="J8" s="372">
        <v>0</v>
      </c>
      <c r="K8" s="778">
        <v>0</v>
      </c>
      <c r="L8" s="734">
        <v>0</v>
      </c>
      <c r="O8" s="342"/>
      <c r="Q8" s="342"/>
    </row>
    <row r="9" spans="1:20" ht="24.95" customHeight="1" x14ac:dyDescent="0.3">
      <c r="A9" s="372"/>
      <c r="B9" s="372"/>
      <c r="C9" s="778"/>
      <c r="D9" s="734"/>
      <c r="E9" s="372"/>
      <c r="F9" s="778"/>
      <c r="G9" s="734"/>
      <c r="I9" s="372"/>
      <c r="J9" s="372"/>
      <c r="K9" s="778"/>
      <c r="L9" s="734"/>
    </row>
    <row r="10" spans="1:20" s="342" customFormat="1" ht="24.95" customHeight="1" x14ac:dyDescent="0.3">
      <c r="A10" s="526" t="s">
        <v>9</v>
      </c>
      <c r="B10" s="375">
        <v>0</v>
      </c>
      <c r="C10" s="779">
        <v>0</v>
      </c>
      <c r="D10" s="735">
        <v>0</v>
      </c>
      <c r="E10" s="375">
        <v>0</v>
      </c>
      <c r="F10" s="779">
        <v>0</v>
      </c>
      <c r="G10" s="735">
        <v>0</v>
      </c>
      <c r="I10" s="526" t="s">
        <v>9</v>
      </c>
      <c r="J10" s="375">
        <v>26930</v>
      </c>
      <c r="K10" s="779">
        <v>18240</v>
      </c>
      <c r="L10" s="735">
        <v>8690</v>
      </c>
      <c r="N10" s="339"/>
      <c r="O10" s="339"/>
      <c r="P10" s="339"/>
    </row>
    <row r="11" spans="1:20" ht="24.95" customHeight="1" x14ac:dyDescent="0.3">
      <c r="A11" s="372" t="s">
        <v>308</v>
      </c>
      <c r="B11" s="372">
        <v>0</v>
      </c>
      <c r="C11" s="726">
        <v>0</v>
      </c>
      <c r="D11" s="734">
        <v>0</v>
      </c>
      <c r="E11" s="372">
        <v>0</v>
      </c>
      <c r="F11" s="778">
        <v>0</v>
      </c>
      <c r="G11" s="734">
        <v>0</v>
      </c>
      <c r="I11" s="372" t="s">
        <v>308</v>
      </c>
      <c r="J11" s="372">
        <v>26930</v>
      </c>
      <c r="K11" s="778">
        <v>18240</v>
      </c>
      <c r="L11" s="734">
        <v>8690</v>
      </c>
    </row>
    <row r="12" spans="1:20" ht="24.95" customHeight="1" x14ac:dyDescent="0.3">
      <c r="A12" s="372" t="s">
        <v>309</v>
      </c>
      <c r="B12" s="372">
        <v>0</v>
      </c>
      <c r="C12" s="726">
        <v>0</v>
      </c>
      <c r="D12" s="734">
        <v>0</v>
      </c>
      <c r="E12" s="372">
        <v>0</v>
      </c>
      <c r="F12" s="778">
        <v>0</v>
      </c>
      <c r="G12" s="734">
        <v>0</v>
      </c>
      <c r="I12" s="372" t="s">
        <v>309</v>
      </c>
      <c r="J12" s="372">
        <v>0</v>
      </c>
      <c r="K12" s="778">
        <v>0</v>
      </c>
      <c r="L12" s="734">
        <v>0</v>
      </c>
      <c r="N12" s="379"/>
      <c r="O12" s="342"/>
      <c r="P12" s="342"/>
    </row>
    <row r="13" spans="1:20" ht="24.95" customHeight="1" x14ac:dyDescent="0.3">
      <c r="A13" s="372" t="s">
        <v>310</v>
      </c>
      <c r="B13" s="372">
        <v>0</v>
      </c>
      <c r="C13" s="726">
        <v>0</v>
      </c>
      <c r="D13" s="734">
        <v>0</v>
      </c>
      <c r="E13" s="372">
        <v>0</v>
      </c>
      <c r="F13" s="778">
        <v>0</v>
      </c>
      <c r="G13" s="734">
        <v>0</v>
      </c>
      <c r="I13" s="372" t="s">
        <v>310</v>
      </c>
      <c r="J13" s="372">
        <v>0</v>
      </c>
      <c r="K13" s="778">
        <v>0</v>
      </c>
      <c r="L13" s="734">
        <v>0</v>
      </c>
      <c r="N13" s="379"/>
    </row>
    <row r="14" spans="1:20" ht="24.95" customHeight="1" x14ac:dyDescent="0.3">
      <c r="A14" s="372" t="s">
        <v>311</v>
      </c>
      <c r="B14" s="372">
        <v>0</v>
      </c>
      <c r="C14" s="726">
        <v>0</v>
      </c>
      <c r="D14" s="734">
        <v>0</v>
      </c>
      <c r="E14" s="372">
        <v>0</v>
      </c>
      <c r="F14" s="778">
        <v>0</v>
      </c>
      <c r="G14" s="734">
        <v>0</v>
      </c>
      <c r="I14" s="372" t="s">
        <v>311</v>
      </c>
      <c r="J14" s="372">
        <v>0</v>
      </c>
      <c r="K14" s="778">
        <v>0</v>
      </c>
      <c r="L14" s="734">
        <v>0</v>
      </c>
    </row>
    <row r="15" spans="1:20" ht="24.95" customHeight="1" x14ac:dyDescent="0.3">
      <c r="A15" s="372" t="s">
        <v>312</v>
      </c>
      <c r="B15" s="372">
        <v>0</v>
      </c>
      <c r="C15" s="726">
        <v>0</v>
      </c>
      <c r="D15" s="734">
        <v>0</v>
      </c>
      <c r="E15" s="372">
        <v>0</v>
      </c>
      <c r="F15" s="778">
        <v>0</v>
      </c>
      <c r="G15" s="734">
        <v>0</v>
      </c>
      <c r="I15" s="372" t="s">
        <v>312</v>
      </c>
      <c r="J15" s="372">
        <v>0</v>
      </c>
      <c r="K15" s="778">
        <v>0</v>
      </c>
      <c r="L15" s="734">
        <v>0</v>
      </c>
      <c r="N15" s="379"/>
    </row>
    <row r="16" spans="1:20" ht="24.95" customHeight="1" x14ac:dyDescent="0.3">
      <c r="A16" s="372" t="s">
        <v>313</v>
      </c>
      <c r="B16" s="372">
        <v>0</v>
      </c>
      <c r="C16" s="726">
        <v>0</v>
      </c>
      <c r="D16" s="734">
        <v>0</v>
      </c>
      <c r="E16" s="372">
        <v>0</v>
      </c>
      <c r="F16" s="778">
        <v>0</v>
      </c>
      <c r="G16" s="734">
        <v>0</v>
      </c>
      <c r="I16" s="372" t="s">
        <v>313</v>
      </c>
      <c r="J16" s="372">
        <v>0</v>
      </c>
      <c r="K16" s="778">
        <v>0</v>
      </c>
      <c r="L16" s="734">
        <v>0</v>
      </c>
    </row>
    <row r="17" spans="1:12" ht="24.95" customHeight="1" x14ac:dyDescent="0.3">
      <c r="A17" s="372" t="s">
        <v>314</v>
      </c>
      <c r="B17" s="372">
        <v>0</v>
      </c>
      <c r="C17" s="726">
        <v>0</v>
      </c>
      <c r="D17" s="734">
        <v>0</v>
      </c>
      <c r="E17" s="372">
        <v>0</v>
      </c>
      <c r="F17" s="778">
        <v>0</v>
      </c>
      <c r="G17" s="734">
        <v>0</v>
      </c>
      <c r="I17" s="372" t="s">
        <v>314</v>
      </c>
      <c r="J17" s="372">
        <v>0</v>
      </c>
      <c r="K17" s="778">
        <v>0</v>
      </c>
      <c r="L17" s="734">
        <v>0</v>
      </c>
    </row>
    <row r="18" spans="1:12" ht="24.95" customHeight="1" x14ac:dyDescent="0.3">
      <c r="A18" s="372" t="s">
        <v>315</v>
      </c>
      <c r="B18" s="372">
        <v>0</v>
      </c>
      <c r="C18" s="726">
        <v>0</v>
      </c>
      <c r="D18" s="734">
        <v>0</v>
      </c>
      <c r="E18" s="372">
        <v>0</v>
      </c>
      <c r="F18" s="778">
        <v>0</v>
      </c>
      <c r="G18" s="734">
        <v>0</v>
      </c>
      <c r="I18" s="372" t="s">
        <v>315</v>
      </c>
      <c r="J18" s="372">
        <v>0</v>
      </c>
      <c r="K18" s="778">
        <v>0</v>
      </c>
      <c r="L18" s="734">
        <v>0</v>
      </c>
    </row>
    <row r="19" spans="1:12" ht="24.95" customHeight="1" x14ac:dyDescent="0.3">
      <c r="A19" s="372" t="s">
        <v>390</v>
      </c>
      <c r="B19" s="372">
        <v>0</v>
      </c>
      <c r="C19" s="726">
        <v>0</v>
      </c>
      <c r="D19" s="734">
        <v>0</v>
      </c>
      <c r="E19" s="372">
        <v>0</v>
      </c>
      <c r="F19" s="778">
        <v>0</v>
      </c>
      <c r="G19" s="734">
        <v>0</v>
      </c>
      <c r="I19" s="372" t="s">
        <v>390</v>
      </c>
      <c r="J19" s="372">
        <v>0</v>
      </c>
      <c r="K19" s="778">
        <v>0</v>
      </c>
      <c r="L19" s="734">
        <v>0</v>
      </c>
    </row>
    <row r="20" spans="1:12" s="342" customFormat="1" ht="24.95" customHeight="1" x14ac:dyDescent="0.3">
      <c r="A20" s="526" t="s">
        <v>12</v>
      </c>
      <c r="B20" s="375">
        <v>0</v>
      </c>
      <c r="C20" s="779">
        <v>0</v>
      </c>
      <c r="D20" s="735">
        <v>0</v>
      </c>
      <c r="E20" s="375">
        <v>0</v>
      </c>
      <c r="F20" s="779">
        <v>0</v>
      </c>
      <c r="G20" s="735">
        <v>0</v>
      </c>
      <c r="I20" s="526" t="s">
        <v>12</v>
      </c>
      <c r="J20" s="375">
        <v>0</v>
      </c>
      <c r="K20" s="779">
        <v>0</v>
      </c>
      <c r="L20" s="735">
        <v>0</v>
      </c>
    </row>
    <row r="21" spans="1:12" ht="24.95" customHeight="1" x14ac:dyDescent="0.3">
      <c r="A21" s="372" t="s">
        <v>391</v>
      </c>
      <c r="B21" s="372">
        <v>0</v>
      </c>
      <c r="C21" s="726">
        <v>0</v>
      </c>
      <c r="D21" s="734">
        <v>0</v>
      </c>
      <c r="E21" s="372">
        <v>0</v>
      </c>
      <c r="F21" s="778">
        <v>0</v>
      </c>
      <c r="G21" s="734">
        <v>0</v>
      </c>
      <c r="I21" s="372" t="s">
        <v>391</v>
      </c>
      <c r="J21" s="372">
        <v>0</v>
      </c>
      <c r="K21" s="778">
        <v>0</v>
      </c>
      <c r="L21" s="734">
        <v>0</v>
      </c>
    </row>
    <row r="22" spans="1:12" ht="24.95" customHeight="1" x14ac:dyDescent="0.3">
      <c r="A22" s="372" t="s">
        <v>392</v>
      </c>
      <c r="B22" s="372">
        <v>0</v>
      </c>
      <c r="C22" s="726">
        <v>0</v>
      </c>
      <c r="D22" s="734">
        <v>0</v>
      </c>
      <c r="E22" s="372">
        <v>0</v>
      </c>
      <c r="F22" s="778">
        <v>0</v>
      </c>
      <c r="G22" s="734">
        <v>0</v>
      </c>
      <c r="I22" s="372" t="s">
        <v>392</v>
      </c>
      <c r="J22" s="372">
        <v>0</v>
      </c>
      <c r="K22" s="778">
        <v>0</v>
      </c>
      <c r="L22" s="734">
        <v>0</v>
      </c>
    </row>
    <row r="23" spans="1:12" ht="24.95" customHeight="1" x14ac:dyDescent="0.3">
      <c r="A23" s="372" t="s">
        <v>393</v>
      </c>
      <c r="B23" s="372">
        <v>0</v>
      </c>
      <c r="C23" s="726">
        <v>0</v>
      </c>
      <c r="D23" s="734">
        <v>0</v>
      </c>
      <c r="E23" s="372">
        <v>0</v>
      </c>
      <c r="F23" s="778">
        <v>0</v>
      </c>
      <c r="G23" s="734">
        <v>0</v>
      </c>
      <c r="I23" s="372" t="s">
        <v>393</v>
      </c>
      <c r="J23" s="372">
        <v>0</v>
      </c>
      <c r="K23" s="778">
        <v>0</v>
      </c>
      <c r="L23" s="734">
        <v>0</v>
      </c>
    </row>
    <row r="24" spans="1:12" ht="24.95" customHeight="1" x14ac:dyDescent="0.3">
      <c r="A24" s="372" t="s">
        <v>394</v>
      </c>
      <c r="B24" s="372">
        <v>0</v>
      </c>
      <c r="C24" s="726">
        <v>0</v>
      </c>
      <c r="D24" s="734">
        <v>0</v>
      </c>
      <c r="E24" s="372">
        <v>0</v>
      </c>
      <c r="F24" s="778">
        <v>0</v>
      </c>
      <c r="G24" s="734">
        <v>0</v>
      </c>
      <c r="I24" s="372" t="s">
        <v>394</v>
      </c>
      <c r="J24" s="372">
        <v>0</v>
      </c>
      <c r="K24" s="778">
        <v>0</v>
      </c>
      <c r="L24" s="734">
        <v>0</v>
      </c>
    </row>
    <row r="25" spans="1:12" ht="24.95" customHeight="1" x14ac:dyDescent="0.3">
      <c r="A25" s="377"/>
      <c r="B25" s="377"/>
      <c r="C25" s="780"/>
      <c r="D25" s="736"/>
      <c r="E25" s="377"/>
      <c r="F25" s="780"/>
      <c r="G25" s="736"/>
      <c r="I25" s="377"/>
      <c r="J25" s="377"/>
      <c r="K25" s="780"/>
      <c r="L25" s="736"/>
    </row>
    <row r="37" spans="1:7" x14ac:dyDescent="0.3">
      <c r="A37" s="3516" t="s">
        <v>0</v>
      </c>
      <c r="B37" s="3520" t="s">
        <v>1</v>
      </c>
      <c r="C37" s="3520"/>
      <c r="D37" s="3520"/>
      <c r="E37" s="3520" t="s">
        <v>3</v>
      </c>
      <c r="F37" s="3520"/>
      <c r="G37" s="3520"/>
    </row>
    <row r="38" spans="1:7" x14ac:dyDescent="0.3">
      <c r="A38" s="3517"/>
      <c r="B38" s="380" t="s">
        <v>28</v>
      </c>
      <c r="C38" s="775" t="s">
        <v>34</v>
      </c>
      <c r="D38" s="731" t="s">
        <v>62</v>
      </c>
      <c r="E38" s="380" t="s">
        <v>28</v>
      </c>
      <c r="F38" s="775" t="s">
        <v>34</v>
      </c>
      <c r="G38" s="731" t="s">
        <v>62</v>
      </c>
    </row>
    <row r="39" spans="1:7" ht="19.5" thickBot="1" x14ac:dyDescent="0.35">
      <c r="A39" s="525" t="s">
        <v>28</v>
      </c>
      <c r="B39" s="367">
        <v>26930</v>
      </c>
      <c r="C39" s="776">
        <v>18240</v>
      </c>
      <c r="D39" s="737">
        <v>8690</v>
      </c>
      <c r="E39" s="367">
        <v>0</v>
      </c>
      <c r="F39" s="776">
        <v>0</v>
      </c>
      <c r="G39" s="732">
        <v>0</v>
      </c>
    </row>
    <row r="40" spans="1:7" ht="19.5" thickTop="1" x14ac:dyDescent="0.3">
      <c r="A40" s="369" t="s">
        <v>7</v>
      </c>
      <c r="B40" s="370">
        <v>0</v>
      </c>
      <c r="C40" s="777">
        <v>0</v>
      </c>
      <c r="D40" s="733">
        <v>0</v>
      </c>
      <c r="E40" s="370">
        <v>0</v>
      </c>
      <c r="F40" s="777">
        <v>0</v>
      </c>
      <c r="G40" s="733">
        <v>0</v>
      </c>
    </row>
    <row r="41" spans="1:7" x14ac:dyDescent="0.3">
      <c r="A41" s="398" t="s">
        <v>8</v>
      </c>
      <c r="B41" s="372">
        <v>0</v>
      </c>
      <c r="C41" s="778">
        <v>0</v>
      </c>
      <c r="D41" s="734">
        <v>0</v>
      </c>
      <c r="E41" s="372">
        <v>0</v>
      </c>
      <c r="F41" s="778"/>
      <c r="G41" s="734"/>
    </row>
    <row r="42" spans="1:7" x14ac:dyDescent="0.3">
      <c r="A42" s="398" t="s">
        <v>306</v>
      </c>
      <c r="B42" s="372">
        <v>0</v>
      </c>
      <c r="C42" s="778">
        <v>0</v>
      </c>
      <c r="D42" s="734">
        <v>0</v>
      </c>
      <c r="E42" s="372">
        <v>0</v>
      </c>
      <c r="F42" s="778"/>
      <c r="G42" s="734"/>
    </row>
    <row r="43" spans="1:7" x14ac:dyDescent="0.3">
      <c r="A43" s="372"/>
      <c r="B43" s="372"/>
      <c r="C43" s="778"/>
      <c r="D43" s="734"/>
      <c r="E43" s="372"/>
      <c r="F43" s="778"/>
      <c r="G43" s="734"/>
    </row>
    <row r="44" spans="1:7" x14ac:dyDescent="0.3">
      <c r="A44" s="526" t="s">
        <v>9</v>
      </c>
      <c r="B44" s="375">
        <v>26930</v>
      </c>
      <c r="C44" s="779">
        <v>18240</v>
      </c>
      <c r="D44" s="735">
        <v>8690</v>
      </c>
      <c r="E44" s="375">
        <v>0</v>
      </c>
      <c r="F44" s="779">
        <v>0</v>
      </c>
      <c r="G44" s="735">
        <v>0</v>
      </c>
    </row>
    <row r="45" spans="1:7" x14ac:dyDescent="0.3">
      <c r="A45" s="372" t="s">
        <v>308</v>
      </c>
      <c r="B45" s="372">
        <v>26930</v>
      </c>
      <c r="C45" s="778">
        <v>18240</v>
      </c>
      <c r="D45" s="734">
        <v>8690</v>
      </c>
      <c r="E45" s="372">
        <v>0</v>
      </c>
      <c r="F45" s="778"/>
      <c r="G45" s="734"/>
    </row>
    <row r="46" spans="1:7" x14ac:dyDescent="0.3">
      <c r="A46" s="372" t="s">
        <v>309</v>
      </c>
      <c r="B46" s="372">
        <v>0</v>
      </c>
      <c r="C46" s="778">
        <v>0</v>
      </c>
      <c r="D46" s="734">
        <v>0</v>
      </c>
      <c r="E46" s="372">
        <v>0</v>
      </c>
      <c r="F46" s="778"/>
      <c r="G46" s="734"/>
    </row>
    <row r="47" spans="1:7" x14ac:dyDescent="0.3">
      <c r="A47" s="372" t="s">
        <v>310</v>
      </c>
      <c r="B47" s="372">
        <v>0</v>
      </c>
      <c r="C47" s="778">
        <v>0</v>
      </c>
      <c r="D47" s="734">
        <v>0</v>
      </c>
      <c r="E47" s="372">
        <v>0</v>
      </c>
      <c r="F47" s="778"/>
      <c r="G47" s="734"/>
    </row>
    <row r="48" spans="1:7" x14ac:dyDescent="0.3">
      <c r="A48" s="372" t="s">
        <v>311</v>
      </c>
      <c r="B48" s="372">
        <v>0</v>
      </c>
      <c r="C48" s="778">
        <v>0</v>
      </c>
      <c r="D48" s="734">
        <v>0</v>
      </c>
      <c r="E48" s="372">
        <v>0</v>
      </c>
      <c r="F48" s="778"/>
      <c r="G48" s="734"/>
    </row>
    <row r="49" spans="1:7" x14ac:dyDescent="0.3">
      <c r="A49" s="372" t="s">
        <v>312</v>
      </c>
      <c r="B49" s="372">
        <v>0</v>
      </c>
      <c r="C49" s="778">
        <v>0</v>
      </c>
      <c r="D49" s="734">
        <v>0</v>
      </c>
      <c r="E49" s="372">
        <v>0</v>
      </c>
      <c r="F49" s="778"/>
      <c r="G49" s="734"/>
    </row>
    <row r="50" spans="1:7" x14ac:dyDescent="0.3">
      <c r="A50" s="372" t="s">
        <v>313</v>
      </c>
      <c r="B50" s="372">
        <v>0</v>
      </c>
      <c r="C50" s="778">
        <v>0</v>
      </c>
      <c r="D50" s="734">
        <v>0</v>
      </c>
      <c r="E50" s="372">
        <v>0</v>
      </c>
      <c r="F50" s="778"/>
      <c r="G50" s="734"/>
    </row>
    <row r="51" spans="1:7" x14ac:dyDescent="0.3">
      <c r="A51" s="372" t="s">
        <v>314</v>
      </c>
      <c r="B51" s="372">
        <v>0</v>
      </c>
      <c r="C51" s="778">
        <v>0</v>
      </c>
      <c r="D51" s="734">
        <v>0</v>
      </c>
      <c r="E51" s="372">
        <v>0</v>
      </c>
      <c r="F51" s="778"/>
      <c r="G51" s="734"/>
    </row>
    <row r="52" spans="1:7" x14ac:dyDescent="0.3">
      <c r="A52" s="372" t="s">
        <v>315</v>
      </c>
      <c r="B52" s="372">
        <v>0</v>
      </c>
      <c r="C52" s="778">
        <v>0</v>
      </c>
      <c r="D52" s="734">
        <v>0</v>
      </c>
      <c r="E52" s="372">
        <v>0</v>
      </c>
      <c r="F52" s="778"/>
      <c r="G52" s="734"/>
    </row>
    <row r="53" spans="1:7" x14ac:dyDescent="0.3">
      <c r="A53" s="372" t="s">
        <v>390</v>
      </c>
      <c r="B53" s="372">
        <v>0</v>
      </c>
      <c r="C53" s="778">
        <v>0</v>
      </c>
      <c r="D53" s="734">
        <v>0</v>
      </c>
      <c r="E53" s="372"/>
      <c r="F53" s="778"/>
      <c r="G53" s="734"/>
    </row>
    <row r="54" spans="1:7" x14ac:dyDescent="0.3">
      <c r="A54" s="526" t="s">
        <v>12</v>
      </c>
      <c r="B54" s="375">
        <v>0</v>
      </c>
      <c r="C54" s="779">
        <v>0</v>
      </c>
      <c r="D54" s="735">
        <v>0</v>
      </c>
      <c r="E54" s="375">
        <v>0</v>
      </c>
      <c r="F54" s="779">
        <v>0</v>
      </c>
      <c r="G54" s="735">
        <v>0</v>
      </c>
    </row>
    <row r="55" spans="1:7" x14ac:dyDescent="0.3">
      <c r="A55" s="372" t="s">
        <v>391</v>
      </c>
      <c r="B55" s="372">
        <v>0</v>
      </c>
      <c r="C55" s="778">
        <v>0</v>
      </c>
      <c r="D55" s="734">
        <v>0</v>
      </c>
      <c r="E55" s="372">
        <v>0</v>
      </c>
      <c r="F55" s="778"/>
      <c r="G55" s="734"/>
    </row>
    <row r="56" spans="1:7" x14ac:dyDescent="0.3">
      <c r="A56" s="372" t="s">
        <v>392</v>
      </c>
      <c r="B56" s="372">
        <v>0</v>
      </c>
      <c r="C56" s="778">
        <v>0</v>
      </c>
      <c r="D56" s="734">
        <v>0</v>
      </c>
      <c r="E56" s="372">
        <v>0</v>
      </c>
      <c r="F56" s="778"/>
      <c r="G56" s="734"/>
    </row>
    <row r="57" spans="1:7" x14ac:dyDescent="0.3">
      <c r="A57" s="372" t="s">
        <v>393</v>
      </c>
      <c r="B57" s="372">
        <v>0</v>
      </c>
      <c r="C57" s="778">
        <v>0</v>
      </c>
      <c r="D57" s="734">
        <v>0</v>
      </c>
      <c r="E57" s="372">
        <v>0</v>
      </c>
      <c r="F57" s="778"/>
      <c r="G57" s="734"/>
    </row>
    <row r="58" spans="1:7" x14ac:dyDescent="0.3">
      <c r="A58" s="372" t="s">
        <v>394</v>
      </c>
      <c r="B58" s="372">
        <v>0</v>
      </c>
      <c r="C58" s="778">
        <v>0</v>
      </c>
      <c r="D58" s="734">
        <v>0</v>
      </c>
      <c r="E58" s="372">
        <v>0</v>
      </c>
      <c r="F58" s="778"/>
      <c r="G58" s="734"/>
    </row>
    <row r="59" spans="1:7" x14ac:dyDescent="0.3">
      <c r="A59" s="377"/>
      <c r="B59" s="377"/>
      <c r="C59" s="780"/>
      <c r="D59" s="736"/>
      <c r="E59" s="377"/>
      <c r="F59" s="780"/>
      <c r="G59" s="736"/>
    </row>
    <row r="74" spans="1:7" x14ac:dyDescent="0.3">
      <c r="A74" s="3516" t="s">
        <v>0</v>
      </c>
      <c r="B74" s="3520" t="s">
        <v>24</v>
      </c>
      <c r="C74" s="3520"/>
      <c r="D74" s="3520"/>
      <c r="E74" s="3520" t="s">
        <v>23</v>
      </c>
      <c r="F74" s="3520"/>
      <c r="G74" s="3520"/>
    </row>
    <row r="75" spans="1:7" x14ac:dyDescent="0.3">
      <c r="A75" s="3517"/>
      <c r="B75" s="380" t="s">
        <v>28</v>
      </c>
      <c r="C75" s="775" t="s">
        <v>34</v>
      </c>
      <c r="D75" s="731" t="s">
        <v>62</v>
      </c>
      <c r="E75" s="380" t="s">
        <v>28</v>
      </c>
      <c r="F75" s="775" t="s">
        <v>34</v>
      </c>
      <c r="G75" s="731" t="s">
        <v>62</v>
      </c>
    </row>
    <row r="76" spans="1:7" ht="19.5" thickBot="1" x14ac:dyDescent="0.35">
      <c r="A76" s="525" t="s">
        <v>28</v>
      </c>
      <c r="B76" s="367">
        <v>0</v>
      </c>
      <c r="C76" s="776">
        <v>0</v>
      </c>
      <c r="D76" s="732">
        <v>0</v>
      </c>
      <c r="E76" s="367">
        <v>0</v>
      </c>
      <c r="F76" s="776">
        <v>0</v>
      </c>
      <c r="G76" s="732">
        <v>0</v>
      </c>
    </row>
    <row r="77" spans="1:7" ht="19.5" thickTop="1" x14ac:dyDescent="0.3">
      <c r="A77" s="369" t="s">
        <v>7</v>
      </c>
      <c r="B77" s="370">
        <v>0</v>
      </c>
      <c r="C77" s="777">
        <v>0</v>
      </c>
      <c r="D77" s="733">
        <v>0</v>
      </c>
      <c r="E77" s="370">
        <v>0</v>
      </c>
      <c r="F77" s="777">
        <v>0</v>
      </c>
      <c r="G77" s="733">
        <v>0</v>
      </c>
    </row>
    <row r="78" spans="1:7" x14ac:dyDescent="0.3">
      <c r="A78" s="398" t="s">
        <v>8</v>
      </c>
      <c r="B78" s="372">
        <v>0</v>
      </c>
      <c r="C78" s="778"/>
      <c r="D78" s="734"/>
      <c r="E78" s="372">
        <v>0</v>
      </c>
      <c r="F78" s="778">
        <v>0</v>
      </c>
      <c r="G78" s="734">
        <v>0</v>
      </c>
    </row>
    <row r="79" spans="1:7" x14ac:dyDescent="0.3">
      <c r="A79" s="398" t="s">
        <v>306</v>
      </c>
      <c r="B79" s="372">
        <v>0</v>
      </c>
      <c r="C79" s="778"/>
      <c r="D79" s="734"/>
      <c r="E79" s="372">
        <v>0</v>
      </c>
      <c r="F79" s="778">
        <v>0</v>
      </c>
      <c r="G79" s="734">
        <v>0</v>
      </c>
    </row>
    <row r="80" spans="1:7" x14ac:dyDescent="0.3">
      <c r="A80" s="372"/>
      <c r="B80" s="372"/>
      <c r="C80" s="778"/>
      <c r="D80" s="734"/>
      <c r="E80" s="372"/>
      <c r="F80" s="778"/>
      <c r="G80" s="734"/>
    </row>
    <row r="81" spans="1:7" x14ac:dyDescent="0.3">
      <c r="A81" s="526" t="s">
        <v>9</v>
      </c>
      <c r="B81" s="375">
        <v>0</v>
      </c>
      <c r="C81" s="779">
        <v>0</v>
      </c>
      <c r="D81" s="735">
        <v>0</v>
      </c>
      <c r="E81" s="375">
        <v>0</v>
      </c>
      <c r="F81" s="779">
        <v>0</v>
      </c>
      <c r="G81" s="735">
        <v>0</v>
      </c>
    </row>
    <row r="82" spans="1:7" x14ac:dyDescent="0.3">
      <c r="A82" s="372" t="s">
        <v>308</v>
      </c>
      <c r="B82" s="372">
        <v>0</v>
      </c>
      <c r="C82" s="778"/>
      <c r="D82" s="734"/>
      <c r="E82" s="372">
        <v>0</v>
      </c>
      <c r="F82" s="778">
        <v>0</v>
      </c>
      <c r="G82" s="734">
        <v>0</v>
      </c>
    </row>
    <row r="83" spans="1:7" x14ac:dyDescent="0.3">
      <c r="A83" s="372" t="s">
        <v>309</v>
      </c>
      <c r="B83" s="372">
        <v>0</v>
      </c>
      <c r="C83" s="778"/>
      <c r="D83" s="734"/>
      <c r="E83" s="372">
        <v>0</v>
      </c>
      <c r="F83" s="778">
        <v>0</v>
      </c>
      <c r="G83" s="734">
        <v>0</v>
      </c>
    </row>
    <row r="84" spans="1:7" x14ac:dyDescent="0.3">
      <c r="A84" s="372" t="s">
        <v>310</v>
      </c>
      <c r="B84" s="372">
        <v>0</v>
      </c>
      <c r="C84" s="778"/>
      <c r="D84" s="734"/>
      <c r="E84" s="372">
        <v>0</v>
      </c>
      <c r="F84" s="778">
        <v>0</v>
      </c>
      <c r="G84" s="734">
        <v>0</v>
      </c>
    </row>
    <row r="85" spans="1:7" x14ac:dyDescent="0.3">
      <c r="A85" s="372" t="s">
        <v>311</v>
      </c>
      <c r="B85" s="372">
        <v>0</v>
      </c>
      <c r="C85" s="778"/>
      <c r="D85" s="734"/>
      <c r="E85" s="372">
        <v>0</v>
      </c>
      <c r="F85" s="778">
        <v>0</v>
      </c>
      <c r="G85" s="734">
        <v>0</v>
      </c>
    </row>
    <row r="86" spans="1:7" x14ac:dyDescent="0.3">
      <c r="A86" s="372" t="s">
        <v>312</v>
      </c>
      <c r="B86" s="372">
        <v>0</v>
      </c>
      <c r="C86" s="778"/>
      <c r="D86" s="734"/>
      <c r="E86" s="372">
        <v>0</v>
      </c>
      <c r="F86" s="778">
        <v>0</v>
      </c>
      <c r="G86" s="734">
        <v>0</v>
      </c>
    </row>
    <row r="87" spans="1:7" x14ac:dyDescent="0.3">
      <c r="A87" s="372" t="s">
        <v>313</v>
      </c>
      <c r="B87" s="372">
        <v>0</v>
      </c>
      <c r="C87" s="778"/>
      <c r="D87" s="734"/>
      <c r="E87" s="372">
        <v>0</v>
      </c>
      <c r="F87" s="778">
        <v>0</v>
      </c>
      <c r="G87" s="734">
        <v>0</v>
      </c>
    </row>
    <row r="88" spans="1:7" x14ac:dyDescent="0.3">
      <c r="A88" s="372" t="s">
        <v>314</v>
      </c>
      <c r="B88" s="372"/>
      <c r="C88" s="778"/>
      <c r="D88" s="734"/>
      <c r="E88" s="372"/>
      <c r="F88" s="778">
        <v>0</v>
      </c>
      <c r="G88" s="734">
        <v>0</v>
      </c>
    </row>
    <row r="89" spans="1:7" x14ac:dyDescent="0.3">
      <c r="A89" s="372" t="s">
        <v>315</v>
      </c>
      <c r="B89" s="372"/>
      <c r="C89" s="778"/>
      <c r="D89" s="734"/>
      <c r="E89" s="372"/>
      <c r="F89" s="778">
        <v>0</v>
      </c>
      <c r="G89" s="734">
        <v>0</v>
      </c>
    </row>
    <row r="90" spans="1:7" x14ac:dyDescent="0.3">
      <c r="A90" s="372"/>
      <c r="B90" s="372"/>
      <c r="C90" s="778"/>
      <c r="D90" s="734"/>
      <c r="E90" s="372"/>
      <c r="F90" s="778"/>
      <c r="G90" s="734"/>
    </row>
    <row r="91" spans="1:7" x14ac:dyDescent="0.3">
      <c r="A91" s="526" t="s">
        <v>12</v>
      </c>
      <c r="B91" s="375">
        <v>0</v>
      </c>
      <c r="C91" s="779">
        <v>0</v>
      </c>
      <c r="D91" s="735">
        <v>0</v>
      </c>
      <c r="E91" s="375">
        <v>0</v>
      </c>
      <c r="F91" s="779">
        <v>0</v>
      </c>
      <c r="G91" s="735">
        <v>0</v>
      </c>
    </row>
    <row r="92" spans="1:7" x14ac:dyDescent="0.3">
      <c r="A92" s="372" t="s">
        <v>316</v>
      </c>
      <c r="B92" s="372">
        <v>0</v>
      </c>
      <c r="C92" s="778"/>
      <c r="D92" s="734"/>
      <c r="E92" s="372">
        <v>0</v>
      </c>
      <c r="F92" s="778">
        <v>0</v>
      </c>
      <c r="G92" s="734">
        <v>0</v>
      </c>
    </row>
    <row r="93" spans="1:7" x14ac:dyDescent="0.3">
      <c r="A93" s="372" t="s">
        <v>317</v>
      </c>
      <c r="B93" s="372">
        <v>0</v>
      </c>
      <c r="C93" s="778"/>
      <c r="D93" s="734"/>
      <c r="E93" s="372">
        <v>0</v>
      </c>
      <c r="F93" s="778">
        <v>0</v>
      </c>
      <c r="G93" s="734">
        <v>0</v>
      </c>
    </row>
    <row r="94" spans="1:7" x14ac:dyDescent="0.3">
      <c r="A94" s="372" t="s">
        <v>318</v>
      </c>
      <c r="B94" s="372">
        <v>0</v>
      </c>
      <c r="C94" s="778"/>
      <c r="D94" s="734"/>
      <c r="E94" s="372">
        <v>0</v>
      </c>
      <c r="F94" s="778">
        <v>0</v>
      </c>
      <c r="G94" s="734">
        <v>0</v>
      </c>
    </row>
    <row r="95" spans="1:7" x14ac:dyDescent="0.3">
      <c r="A95" s="372" t="s">
        <v>319</v>
      </c>
      <c r="B95" s="372">
        <v>0</v>
      </c>
      <c r="C95" s="778"/>
      <c r="D95" s="734"/>
      <c r="E95" s="372">
        <v>0</v>
      </c>
      <c r="F95" s="778">
        <v>0</v>
      </c>
      <c r="G95" s="734">
        <v>0</v>
      </c>
    </row>
    <row r="96" spans="1:7" x14ac:dyDescent="0.3">
      <c r="A96" s="377"/>
      <c r="B96" s="377"/>
      <c r="C96" s="780"/>
      <c r="D96" s="736"/>
      <c r="E96" s="377"/>
      <c r="F96" s="780"/>
      <c r="G96" s="736"/>
    </row>
    <row r="111" spans="1:7" x14ac:dyDescent="0.3">
      <c r="A111" s="3516" t="s">
        <v>0</v>
      </c>
      <c r="B111" s="3520" t="s">
        <v>4</v>
      </c>
      <c r="C111" s="3520"/>
      <c r="D111" s="3520"/>
      <c r="E111" s="3520" t="s">
        <v>20</v>
      </c>
      <c r="F111" s="3520"/>
      <c r="G111" s="3520"/>
    </row>
    <row r="112" spans="1:7" x14ac:dyDescent="0.3">
      <c r="A112" s="3517"/>
      <c r="B112" s="380" t="s">
        <v>28</v>
      </c>
      <c r="C112" s="775" t="s">
        <v>34</v>
      </c>
      <c r="D112" s="731" t="s">
        <v>62</v>
      </c>
      <c r="E112" s="380" t="s">
        <v>28</v>
      </c>
      <c r="F112" s="775" t="s">
        <v>34</v>
      </c>
      <c r="G112" s="731" t="s">
        <v>62</v>
      </c>
    </row>
    <row r="113" spans="1:7" ht="19.5" thickBot="1" x14ac:dyDescent="0.35">
      <c r="A113" s="525" t="s">
        <v>28</v>
      </c>
      <c r="B113" s="367">
        <v>0</v>
      </c>
      <c r="C113" s="776">
        <v>0</v>
      </c>
      <c r="D113" s="732">
        <v>0</v>
      </c>
      <c r="E113" s="367">
        <v>0</v>
      </c>
      <c r="F113" s="776">
        <v>0</v>
      </c>
      <c r="G113" s="732">
        <v>0</v>
      </c>
    </row>
    <row r="114" spans="1:7" ht="19.5" thickTop="1" x14ac:dyDescent="0.3">
      <c r="A114" s="369" t="s">
        <v>7</v>
      </c>
      <c r="B114" s="370">
        <v>0</v>
      </c>
      <c r="C114" s="777">
        <v>0</v>
      </c>
      <c r="D114" s="733">
        <v>0</v>
      </c>
      <c r="E114" s="370">
        <v>0</v>
      </c>
      <c r="F114" s="777">
        <v>0</v>
      </c>
      <c r="G114" s="733">
        <v>0</v>
      </c>
    </row>
    <row r="115" spans="1:7" x14ac:dyDescent="0.3">
      <c r="A115" s="398" t="s">
        <v>8</v>
      </c>
      <c r="B115" s="372">
        <v>0</v>
      </c>
      <c r="C115" s="778">
        <v>0</v>
      </c>
      <c r="D115" s="734">
        <v>0</v>
      </c>
      <c r="E115" s="372">
        <v>0</v>
      </c>
      <c r="F115" s="778"/>
      <c r="G115" s="734"/>
    </row>
    <row r="116" spans="1:7" x14ac:dyDescent="0.3">
      <c r="A116" s="398" t="s">
        <v>306</v>
      </c>
      <c r="B116" s="372">
        <v>0</v>
      </c>
      <c r="C116" s="778">
        <v>0</v>
      </c>
      <c r="D116" s="734">
        <v>0</v>
      </c>
      <c r="E116" s="372">
        <v>0</v>
      </c>
      <c r="F116" s="778"/>
      <c r="G116" s="734"/>
    </row>
    <row r="117" spans="1:7" x14ac:dyDescent="0.3">
      <c r="A117" s="372"/>
      <c r="B117" s="372"/>
      <c r="C117" s="778"/>
      <c r="D117" s="734"/>
      <c r="E117" s="372"/>
      <c r="F117" s="778"/>
      <c r="G117" s="734"/>
    </row>
    <row r="118" spans="1:7" x14ac:dyDescent="0.3">
      <c r="A118" s="526" t="s">
        <v>9</v>
      </c>
      <c r="B118" s="375">
        <v>0</v>
      </c>
      <c r="C118" s="779">
        <v>0</v>
      </c>
      <c r="D118" s="735">
        <v>0</v>
      </c>
      <c r="E118" s="375">
        <v>0</v>
      </c>
      <c r="F118" s="779">
        <v>0</v>
      </c>
      <c r="G118" s="735">
        <v>0</v>
      </c>
    </row>
    <row r="119" spans="1:7" x14ac:dyDescent="0.3">
      <c r="A119" s="372" t="s">
        <v>308</v>
      </c>
      <c r="B119" s="372">
        <v>0</v>
      </c>
      <c r="C119" s="778">
        <v>0</v>
      </c>
      <c r="D119" s="734">
        <v>0</v>
      </c>
      <c r="E119" s="372">
        <v>0</v>
      </c>
      <c r="F119" s="778"/>
      <c r="G119" s="734"/>
    </row>
    <row r="120" spans="1:7" x14ac:dyDescent="0.3">
      <c r="A120" s="372" t="s">
        <v>309</v>
      </c>
      <c r="B120" s="372">
        <v>0</v>
      </c>
      <c r="C120" s="778">
        <v>0</v>
      </c>
      <c r="D120" s="734">
        <v>0</v>
      </c>
      <c r="E120" s="372">
        <v>0</v>
      </c>
      <c r="F120" s="778"/>
      <c r="G120" s="734"/>
    </row>
    <row r="121" spans="1:7" x14ac:dyDescent="0.3">
      <c r="A121" s="372" t="s">
        <v>310</v>
      </c>
      <c r="B121" s="372">
        <v>0</v>
      </c>
      <c r="C121" s="778">
        <v>0</v>
      </c>
      <c r="D121" s="734">
        <v>0</v>
      </c>
      <c r="E121" s="372">
        <v>0</v>
      </c>
      <c r="F121" s="778"/>
      <c r="G121" s="734"/>
    </row>
    <row r="122" spans="1:7" x14ac:dyDescent="0.3">
      <c r="A122" s="372" t="s">
        <v>311</v>
      </c>
      <c r="B122" s="372">
        <v>0</v>
      </c>
      <c r="C122" s="778">
        <v>0</v>
      </c>
      <c r="D122" s="734">
        <v>0</v>
      </c>
      <c r="E122" s="372">
        <v>0</v>
      </c>
      <c r="F122" s="778"/>
      <c r="G122" s="734"/>
    </row>
    <row r="123" spans="1:7" x14ac:dyDescent="0.3">
      <c r="A123" s="372" t="s">
        <v>312</v>
      </c>
      <c r="B123" s="372">
        <v>0</v>
      </c>
      <c r="C123" s="778">
        <v>0</v>
      </c>
      <c r="D123" s="734">
        <v>0</v>
      </c>
      <c r="E123" s="372">
        <v>0</v>
      </c>
      <c r="F123" s="778"/>
      <c r="G123" s="734"/>
    </row>
    <row r="124" spans="1:7" x14ac:dyDescent="0.3">
      <c r="A124" s="372" t="s">
        <v>313</v>
      </c>
      <c r="B124" s="372">
        <v>0</v>
      </c>
      <c r="C124" s="778">
        <v>0</v>
      </c>
      <c r="D124" s="734">
        <v>0</v>
      </c>
      <c r="E124" s="372">
        <v>0</v>
      </c>
      <c r="F124" s="778"/>
      <c r="G124" s="734"/>
    </row>
    <row r="125" spans="1:7" x14ac:dyDescent="0.3">
      <c r="A125" s="372" t="s">
        <v>314</v>
      </c>
      <c r="B125" s="372">
        <v>0</v>
      </c>
      <c r="C125" s="778">
        <v>0</v>
      </c>
      <c r="D125" s="734">
        <v>0</v>
      </c>
      <c r="E125" s="372">
        <v>0</v>
      </c>
      <c r="F125" s="778"/>
      <c r="G125" s="734"/>
    </row>
    <row r="126" spans="1:7" x14ac:dyDescent="0.3">
      <c r="A126" s="372" t="s">
        <v>315</v>
      </c>
      <c r="B126" s="372">
        <v>0</v>
      </c>
      <c r="C126" s="778">
        <v>0</v>
      </c>
      <c r="D126" s="734">
        <v>0</v>
      </c>
      <c r="E126" s="372">
        <v>0</v>
      </c>
      <c r="F126" s="778"/>
      <c r="G126" s="734"/>
    </row>
    <row r="127" spans="1:7" x14ac:dyDescent="0.3">
      <c r="A127" s="372" t="s">
        <v>390</v>
      </c>
      <c r="B127" s="372">
        <v>0</v>
      </c>
      <c r="C127" s="778">
        <v>0</v>
      </c>
      <c r="D127" s="734">
        <v>0</v>
      </c>
      <c r="E127" s="372"/>
      <c r="F127" s="778"/>
      <c r="G127" s="734"/>
    </row>
    <row r="128" spans="1:7" x14ac:dyDescent="0.3">
      <c r="A128" s="526" t="s">
        <v>12</v>
      </c>
      <c r="B128" s="375">
        <v>0</v>
      </c>
      <c r="C128" s="779">
        <v>0</v>
      </c>
      <c r="D128" s="735">
        <v>0</v>
      </c>
      <c r="E128" s="375">
        <v>0</v>
      </c>
      <c r="F128" s="779">
        <v>0</v>
      </c>
      <c r="G128" s="735">
        <v>0</v>
      </c>
    </row>
    <row r="129" spans="1:7" x14ac:dyDescent="0.3">
      <c r="A129" s="372" t="s">
        <v>391</v>
      </c>
      <c r="B129" s="372">
        <v>0</v>
      </c>
      <c r="C129" s="778">
        <v>0</v>
      </c>
      <c r="D129" s="734">
        <v>0</v>
      </c>
      <c r="E129" s="372">
        <v>0</v>
      </c>
      <c r="F129" s="778"/>
      <c r="G129" s="734"/>
    </row>
    <row r="130" spans="1:7" x14ac:dyDescent="0.3">
      <c r="A130" s="372" t="s">
        <v>392</v>
      </c>
      <c r="B130" s="372">
        <v>0</v>
      </c>
      <c r="C130" s="778">
        <v>0</v>
      </c>
      <c r="D130" s="734">
        <v>0</v>
      </c>
      <c r="E130" s="372">
        <v>0</v>
      </c>
      <c r="F130" s="778"/>
      <c r="G130" s="734"/>
    </row>
    <row r="131" spans="1:7" x14ac:dyDescent="0.3">
      <c r="A131" s="372" t="s">
        <v>393</v>
      </c>
      <c r="B131" s="372">
        <v>0</v>
      </c>
      <c r="C131" s="778">
        <v>0</v>
      </c>
      <c r="D131" s="734">
        <v>0</v>
      </c>
      <c r="E131" s="372">
        <v>0</v>
      </c>
      <c r="F131" s="778"/>
      <c r="G131" s="734"/>
    </row>
    <row r="132" spans="1:7" x14ac:dyDescent="0.3">
      <c r="A132" s="372" t="s">
        <v>394</v>
      </c>
      <c r="B132" s="372">
        <v>0</v>
      </c>
      <c r="C132" s="778">
        <v>0</v>
      </c>
      <c r="D132" s="734">
        <v>0</v>
      </c>
      <c r="E132" s="372">
        <v>0</v>
      </c>
      <c r="F132" s="778"/>
      <c r="G132" s="734"/>
    </row>
    <row r="133" spans="1:7" x14ac:dyDescent="0.3">
      <c r="A133" s="377"/>
      <c r="B133" s="377"/>
      <c r="C133" s="780"/>
      <c r="D133" s="736"/>
      <c r="E133" s="377"/>
      <c r="F133" s="780"/>
      <c r="G133" s="736"/>
    </row>
    <row r="148" spans="1:7" x14ac:dyDescent="0.3">
      <c r="A148" s="3516" t="s">
        <v>0</v>
      </c>
      <c r="B148" s="3520" t="s">
        <v>5</v>
      </c>
      <c r="C148" s="3520"/>
      <c r="D148" s="3520"/>
      <c r="E148" s="3520" t="s">
        <v>21</v>
      </c>
      <c r="F148" s="3520"/>
      <c r="G148" s="3520"/>
    </row>
    <row r="149" spans="1:7" x14ac:dyDescent="0.3">
      <c r="A149" s="3517"/>
      <c r="B149" s="380" t="s">
        <v>28</v>
      </c>
      <c r="C149" s="775" t="s">
        <v>34</v>
      </c>
      <c r="D149" s="731" t="s">
        <v>62</v>
      </c>
      <c r="E149" s="380" t="s">
        <v>28</v>
      </c>
      <c r="F149" s="775" t="s">
        <v>34</v>
      </c>
      <c r="G149" s="731" t="s">
        <v>62</v>
      </c>
    </row>
    <row r="150" spans="1:7" ht="19.5" thickBot="1" x14ac:dyDescent="0.35">
      <c r="A150" s="525" t="s">
        <v>28</v>
      </c>
      <c r="B150" s="367">
        <v>0</v>
      </c>
      <c r="C150" s="776">
        <v>0</v>
      </c>
      <c r="D150" s="732">
        <v>0</v>
      </c>
      <c r="E150" s="367">
        <v>0</v>
      </c>
      <c r="F150" s="776">
        <v>0</v>
      </c>
      <c r="G150" s="732">
        <v>0</v>
      </c>
    </row>
    <row r="151" spans="1:7" ht="19.5" thickTop="1" x14ac:dyDescent="0.3">
      <c r="A151" s="369" t="s">
        <v>7</v>
      </c>
      <c r="B151" s="370">
        <v>0</v>
      </c>
      <c r="C151" s="777">
        <v>0</v>
      </c>
      <c r="D151" s="733">
        <v>0</v>
      </c>
      <c r="E151" s="370">
        <v>0</v>
      </c>
      <c r="F151" s="777">
        <v>0</v>
      </c>
      <c r="G151" s="733">
        <v>0</v>
      </c>
    </row>
    <row r="152" spans="1:7" x14ac:dyDescent="0.3">
      <c r="A152" s="398" t="s">
        <v>8</v>
      </c>
      <c r="B152" s="372">
        <v>0</v>
      </c>
      <c r="C152" s="778"/>
      <c r="D152" s="734"/>
      <c r="E152" s="372">
        <v>0</v>
      </c>
      <c r="F152" s="778">
        <v>0</v>
      </c>
      <c r="G152" s="734">
        <v>0</v>
      </c>
    </row>
    <row r="153" spans="1:7" x14ac:dyDescent="0.3">
      <c r="A153" s="398" t="s">
        <v>306</v>
      </c>
      <c r="B153" s="372">
        <v>0</v>
      </c>
      <c r="C153" s="778"/>
      <c r="D153" s="734"/>
      <c r="E153" s="372">
        <v>0</v>
      </c>
      <c r="F153" s="778">
        <v>0</v>
      </c>
      <c r="G153" s="734">
        <v>0</v>
      </c>
    </row>
    <row r="154" spans="1:7" x14ac:dyDescent="0.3">
      <c r="A154" s="372"/>
      <c r="B154" s="372"/>
      <c r="C154" s="778"/>
      <c r="D154" s="734"/>
      <c r="E154" s="372"/>
      <c r="F154" s="778"/>
      <c r="G154" s="734"/>
    </row>
    <row r="155" spans="1:7" x14ac:dyDescent="0.3">
      <c r="A155" s="526" t="s">
        <v>9</v>
      </c>
      <c r="B155" s="375">
        <v>0</v>
      </c>
      <c r="C155" s="779">
        <v>0</v>
      </c>
      <c r="D155" s="735">
        <v>0</v>
      </c>
      <c r="E155" s="375">
        <v>0</v>
      </c>
      <c r="F155" s="779">
        <v>0</v>
      </c>
      <c r="G155" s="735">
        <v>0</v>
      </c>
    </row>
    <row r="156" spans="1:7" x14ac:dyDescent="0.3">
      <c r="A156" s="372" t="s">
        <v>308</v>
      </c>
      <c r="B156" s="372">
        <v>0</v>
      </c>
      <c r="C156" s="778"/>
      <c r="D156" s="734"/>
      <c r="E156" s="372">
        <v>0</v>
      </c>
      <c r="F156" s="778">
        <v>0</v>
      </c>
      <c r="G156" s="734">
        <v>0</v>
      </c>
    </row>
    <row r="157" spans="1:7" x14ac:dyDescent="0.3">
      <c r="A157" s="372" t="s">
        <v>309</v>
      </c>
      <c r="B157" s="372">
        <v>0</v>
      </c>
      <c r="C157" s="778"/>
      <c r="D157" s="734"/>
      <c r="E157" s="372">
        <v>0</v>
      </c>
      <c r="F157" s="778">
        <v>0</v>
      </c>
      <c r="G157" s="734">
        <v>0</v>
      </c>
    </row>
    <row r="158" spans="1:7" x14ac:dyDescent="0.3">
      <c r="A158" s="372" t="s">
        <v>310</v>
      </c>
      <c r="B158" s="372">
        <v>0</v>
      </c>
      <c r="C158" s="778"/>
      <c r="D158" s="734"/>
      <c r="E158" s="372">
        <v>0</v>
      </c>
      <c r="F158" s="778">
        <v>0</v>
      </c>
      <c r="G158" s="734">
        <v>0</v>
      </c>
    </row>
    <row r="159" spans="1:7" x14ac:dyDescent="0.3">
      <c r="A159" s="372" t="s">
        <v>311</v>
      </c>
      <c r="B159" s="372">
        <v>0</v>
      </c>
      <c r="C159" s="778"/>
      <c r="D159" s="734"/>
      <c r="E159" s="372">
        <v>0</v>
      </c>
      <c r="F159" s="778">
        <v>0</v>
      </c>
      <c r="G159" s="734">
        <v>0</v>
      </c>
    </row>
    <row r="160" spans="1:7" x14ac:dyDescent="0.3">
      <c r="A160" s="372" t="s">
        <v>312</v>
      </c>
      <c r="B160" s="372">
        <v>0</v>
      </c>
      <c r="C160" s="778"/>
      <c r="D160" s="734"/>
      <c r="E160" s="372">
        <v>0</v>
      </c>
      <c r="F160" s="778">
        <v>0</v>
      </c>
      <c r="G160" s="734">
        <v>0</v>
      </c>
    </row>
    <row r="161" spans="1:7" x14ac:dyDescent="0.3">
      <c r="A161" s="372" t="s">
        <v>313</v>
      </c>
      <c r="B161" s="372">
        <v>0</v>
      </c>
      <c r="C161" s="778"/>
      <c r="D161" s="734"/>
      <c r="E161" s="372">
        <v>0</v>
      </c>
      <c r="F161" s="778">
        <v>0</v>
      </c>
      <c r="G161" s="734">
        <v>0</v>
      </c>
    </row>
    <row r="162" spans="1:7" x14ac:dyDescent="0.3">
      <c r="A162" s="372" t="s">
        <v>314</v>
      </c>
      <c r="B162" s="372"/>
      <c r="C162" s="778"/>
      <c r="D162" s="734"/>
      <c r="E162" s="372">
        <v>0</v>
      </c>
      <c r="F162" s="778">
        <v>0</v>
      </c>
      <c r="G162" s="734">
        <v>0</v>
      </c>
    </row>
    <row r="163" spans="1:7" x14ac:dyDescent="0.3">
      <c r="A163" s="372" t="s">
        <v>315</v>
      </c>
      <c r="B163" s="372"/>
      <c r="C163" s="778"/>
      <c r="D163" s="734"/>
      <c r="E163" s="372">
        <v>0</v>
      </c>
      <c r="F163" s="778">
        <v>0</v>
      </c>
      <c r="G163" s="734">
        <v>0</v>
      </c>
    </row>
    <row r="164" spans="1:7" x14ac:dyDescent="0.3">
      <c r="A164" s="372"/>
      <c r="B164" s="372"/>
      <c r="C164" s="778"/>
      <c r="D164" s="734"/>
      <c r="E164" s="372"/>
      <c r="F164" s="778"/>
      <c r="G164" s="734"/>
    </row>
    <row r="165" spans="1:7" x14ac:dyDescent="0.3">
      <c r="A165" s="526" t="s">
        <v>12</v>
      </c>
      <c r="B165" s="375">
        <v>0</v>
      </c>
      <c r="C165" s="779">
        <v>0</v>
      </c>
      <c r="D165" s="735">
        <v>0</v>
      </c>
      <c r="E165" s="375">
        <v>0</v>
      </c>
      <c r="F165" s="779">
        <v>0</v>
      </c>
      <c r="G165" s="735">
        <v>0</v>
      </c>
    </row>
    <row r="166" spans="1:7" x14ac:dyDescent="0.3">
      <c r="A166" s="372" t="s">
        <v>316</v>
      </c>
      <c r="B166" s="372">
        <v>0</v>
      </c>
      <c r="C166" s="778"/>
      <c r="D166" s="734"/>
      <c r="E166" s="372">
        <v>0</v>
      </c>
      <c r="F166" s="778">
        <v>0</v>
      </c>
      <c r="G166" s="734">
        <v>0</v>
      </c>
    </row>
    <row r="167" spans="1:7" x14ac:dyDescent="0.3">
      <c r="A167" s="372" t="s">
        <v>317</v>
      </c>
      <c r="B167" s="372">
        <v>0</v>
      </c>
      <c r="C167" s="778"/>
      <c r="D167" s="734"/>
      <c r="E167" s="372">
        <v>0</v>
      </c>
      <c r="F167" s="778">
        <v>0</v>
      </c>
      <c r="G167" s="734">
        <v>0</v>
      </c>
    </row>
    <row r="168" spans="1:7" x14ac:dyDescent="0.3">
      <c r="A168" s="372" t="s">
        <v>318</v>
      </c>
      <c r="B168" s="372">
        <v>0</v>
      </c>
      <c r="C168" s="778"/>
      <c r="D168" s="734"/>
      <c r="E168" s="372">
        <v>0</v>
      </c>
      <c r="F168" s="778">
        <v>0</v>
      </c>
      <c r="G168" s="734">
        <v>0</v>
      </c>
    </row>
    <row r="169" spans="1:7" x14ac:dyDescent="0.3">
      <c r="A169" s="372" t="s">
        <v>319</v>
      </c>
      <c r="B169" s="372">
        <v>0</v>
      </c>
      <c r="C169" s="778"/>
      <c r="D169" s="734"/>
      <c r="E169" s="372">
        <v>0</v>
      </c>
      <c r="F169" s="778">
        <v>0</v>
      </c>
      <c r="G169" s="734">
        <v>0</v>
      </c>
    </row>
    <row r="170" spans="1:7" x14ac:dyDescent="0.3">
      <c r="A170" s="377"/>
      <c r="B170" s="377"/>
      <c r="C170" s="780"/>
      <c r="D170" s="736"/>
      <c r="E170" s="377"/>
      <c r="F170" s="780"/>
      <c r="G170" s="736"/>
    </row>
  </sheetData>
  <mergeCells count="17">
    <mergeCell ref="A3:A4"/>
    <mergeCell ref="B3:D3"/>
    <mergeCell ref="E3:G3"/>
    <mergeCell ref="I3:I4"/>
    <mergeCell ref="J3:L3"/>
    <mergeCell ref="A37:A38"/>
    <mergeCell ref="B37:D37"/>
    <mergeCell ref="E37:G37"/>
    <mergeCell ref="A148:A149"/>
    <mergeCell ref="B148:D148"/>
    <mergeCell ref="E148:G148"/>
    <mergeCell ref="A74:A75"/>
    <mergeCell ref="B74:D74"/>
    <mergeCell ref="E74:G74"/>
    <mergeCell ref="A111:A112"/>
    <mergeCell ref="B111:D111"/>
    <mergeCell ref="E111:G111"/>
  </mergeCells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163C3-5D44-4E4F-9391-DB653F81FC5C}">
  <sheetPr>
    <tabColor rgb="FFFF9999"/>
  </sheetPr>
  <dimension ref="A1:T171"/>
  <sheetViews>
    <sheetView topLeftCell="A44" zoomScaleNormal="100" workbookViewId="0">
      <selection activeCell="A44" sqref="A1:XFD1048576"/>
    </sheetView>
  </sheetViews>
  <sheetFormatPr defaultColWidth="9.140625" defaultRowHeight="18.75" x14ac:dyDescent="0.3"/>
  <cols>
    <col min="1" max="1" width="18.140625" style="339" customWidth="1"/>
    <col min="2" max="2" width="9" style="339" customWidth="1"/>
    <col min="3" max="3" width="11.28515625" style="339" customWidth="1"/>
    <col min="4" max="7" width="9" style="339" customWidth="1"/>
    <col min="8" max="8" width="9.140625" style="339"/>
    <col min="9" max="9" width="23.28515625" style="339" customWidth="1"/>
    <col min="10" max="10" width="9.7109375" style="339" customWidth="1"/>
    <col min="11" max="11" width="10.28515625" style="339" customWidth="1"/>
    <col min="12" max="12" width="9.28515625" style="339" customWidth="1"/>
    <col min="13" max="13" width="16.42578125" style="339" customWidth="1"/>
    <col min="14" max="14" width="10.42578125" style="339" customWidth="1"/>
    <col min="15" max="15" width="10" style="339" bestFit="1" customWidth="1"/>
    <col min="16" max="16" width="11" style="339" bestFit="1" customWidth="1"/>
    <col min="17" max="17" width="10.85546875" style="339" customWidth="1"/>
    <col min="18" max="16384" width="9.140625" style="339"/>
  </cols>
  <sheetData>
    <row r="1" spans="1:20" x14ac:dyDescent="0.3">
      <c r="A1" s="342" t="s">
        <v>954</v>
      </c>
      <c r="L1" s="382"/>
      <c r="N1" s="382"/>
      <c r="Q1" s="520"/>
      <c r="R1" s="520"/>
      <c r="S1" s="521"/>
      <c r="T1" s="522"/>
    </row>
    <row r="2" spans="1:20" x14ac:dyDescent="0.3">
      <c r="N2" s="379"/>
      <c r="Q2" s="520"/>
      <c r="R2" s="520"/>
      <c r="S2" s="523"/>
      <c r="T2" s="520"/>
    </row>
    <row r="3" spans="1:20" ht="24.95" customHeight="1" x14ac:dyDescent="0.3">
      <c r="A3" s="3516" t="s">
        <v>0</v>
      </c>
      <c r="B3" s="3520" t="s">
        <v>6</v>
      </c>
      <c r="C3" s="3520"/>
      <c r="D3" s="3520"/>
      <c r="E3" s="3520" t="s">
        <v>2</v>
      </c>
      <c r="F3" s="3520"/>
      <c r="G3" s="3520"/>
      <c r="I3" s="3516" t="s">
        <v>0</v>
      </c>
      <c r="J3" s="3520" t="s">
        <v>28</v>
      </c>
      <c r="K3" s="3520"/>
      <c r="L3" s="3520"/>
      <c r="N3" s="379"/>
      <c r="Q3" s="520"/>
      <c r="R3" s="520"/>
      <c r="S3" s="520"/>
      <c r="T3" s="520"/>
    </row>
    <row r="4" spans="1:20" ht="24.95" customHeight="1" x14ac:dyDescent="0.3">
      <c r="A4" s="3517"/>
      <c r="B4" s="380" t="s">
        <v>28</v>
      </c>
      <c r="C4" s="775" t="s">
        <v>34</v>
      </c>
      <c r="D4" s="731" t="s">
        <v>62</v>
      </c>
      <c r="E4" s="380" t="s">
        <v>28</v>
      </c>
      <c r="F4" s="775" t="s">
        <v>34</v>
      </c>
      <c r="G4" s="731" t="s">
        <v>62</v>
      </c>
      <c r="I4" s="3517"/>
      <c r="J4" s="380" t="s">
        <v>28</v>
      </c>
      <c r="K4" s="775" t="s">
        <v>34</v>
      </c>
      <c r="L4" s="731" t="s">
        <v>62</v>
      </c>
      <c r="N4" s="379"/>
      <c r="Q4" s="520"/>
    </row>
    <row r="5" spans="1:20" ht="24.95" customHeight="1" thickBot="1" x14ac:dyDescent="0.35">
      <c r="A5" s="525" t="s">
        <v>28</v>
      </c>
      <c r="B5" s="367">
        <v>0</v>
      </c>
      <c r="C5" s="776">
        <v>0</v>
      </c>
      <c r="D5" s="732">
        <v>0</v>
      </c>
      <c r="E5" s="367">
        <v>0</v>
      </c>
      <c r="F5" s="776">
        <v>0</v>
      </c>
      <c r="G5" s="732">
        <v>0</v>
      </c>
      <c r="I5" s="525" t="s">
        <v>28</v>
      </c>
      <c r="J5" s="367">
        <v>0</v>
      </c>
      <c r="K5" s="776">
        <v>0</v>
      </c>
      <c r="L5" s="732">
        <v>0</v>
      </c>
      <c r="N5" s="524"/>
      <c r="Q5" s="520"/>
    </row>
    <row r="6" spans="1:20" s="342" customFormat="1" ht="24.95" customHeight="1" thickTop="1" x14ac:dyDescent="0.3">
      <c r="A6" s="369" t="s">
        <v>7</v>
      </c>
      <c r="B6" s="370">
        <v>0</v>
      </c>
      <c r="C6" s="777">
        <v>0</v>
      </c>
      <c r="D6" s="733">
        <v>0</v>
      </c>
      <c r="E6" s="370">
        <v>0</v>
      </c>
      <c r="F6" s="777">
        <v>0</v>
      </c>
      <c r="G6" s="733">
        <v>0</v>
      </c>
      <c r="I6" s="369" t="s">
        <v>7</v>
      </c>
      <c r="J6" s="370">
        <v>0</v>
      </c>
      <c r="K6" s="777">
        <v>0</v>
      </c>
      <c r="L6" s="733">
        <v>0</v>
      </c>
      <c r="N6" s="379"/>
      <c r="O6" s="339"/>
      <c r="P6" s="339"/>
      <c r="Q6" s="339"/>
    </row>
    <row r="7" spans="1:20" ht="24.95" customHeight="1" x14ac:dyDescent="0.3">
      <c r="A7" s="398" t="s">
        <v>8</v>
      </c>
      <c r="B7" s="372">
        <v>0</v>
      </c>
      <c r="C7" s="726">
        <v>0</v>
      </c>
      <c r="D7" s="734">
        <v>0</v>
      </c>
      <c r="E7" s="372">
        <v>0</v>
      </c>
      <c r="F7" s="778">
        <v>0</v>
      </c>
      <c r="G7" s="734">
        <v>0</v>
      </c>
      <c r="I7" s="398" t="s">
        <v>8</v>
      </c>
      <c r="J7" s="372">
        <v>0</v>
      </c>
      <c r="K7" s="778">
        <v>0</v>
      </c>
      <c r="L7" s="734">
        <v>0</v>
      </c>
      <c r="N7" s="379"/>
    </row>
    <row r="8" spans="1:20" ht="24.95" customHeight="1" x14ac:dyDescent="0.3">
      <c r="A8" s="398" t="s">
        <v>306</v>
      </c>
      <c r="B8" s="372">
        <v>0</v>
      </c>
      <c r="C8" s="726">
        <v>0</v>
      </c>
      <c r="D8" s="734">
        <v>0</v>
      </c>
      <c r="E8" s="372">
        <v>0</v>
      </c>
      <c r="F8" s="778">
        <v>0</v>
      </c>
      <c r="G8" s="734">
        <v>0</v>
      </c>
      <c r="I8" s="398" t="s">
        <v>306</v>
      </c>
      <c r="J8" s="372">
        <v>0</v>
      </c>
      <c r="K8" s="778">
        <v>0</v>
      </c>
      <c r="L8" s="734">
        <v>0</v>
      </c>
      <c r="O8" s="342"/>
      <c r="Q8" s="342"/>
    </row>
    <row r="9" spans="1:20" ht="24.95" customHeight="1" x14ac:dyDescent="0.3">
      <c r="A9" s="372"/>
      <c r="B9" s="372"/>
      <c r="C9" s="778"/>
      <c r="D9" s="734"/>
      <c r="E9" s="372"/>
      <c r="F9" s="778"/>
      <c r="G9" s="734"/>
      <c r="I9" s="372"/>
      <c r="J9" s="372"/>
      <c r="K9" s="778"/>
      <c r="L9" s="734"/>
    </row>
    <row r="10" spans="1:20" s="342" customFormat="1" ht="24.95" customHeight="1" x14ac:dyDescent="0.3">
      <c r="A10" s="526" t="s">
        <v>9</v>
      </c>
      <c r="B10" s="375">
        <v>0</v>
      </c>
      <c r="C10" s="779">
        <v>0</v>
      </c>
      <c r="D10" s="735">
        <v>0</v>
      </c>
      <c r="E10" s="375">
        <v>0</v>
      </c>
      <c r="F10" s="779">
        <v>0</v>
      </c>
      <c r="G10" s="735">
        <v>0</v>
      </c>
      <c r="I10" s="526" t="s">
        <v>9</v>
      </c>
      <c r="J10" s="375">
        <v>0</v>
      </c>
      <c r="K10" s="779">
        <v>0</v>
      </c>
      <c r="L10" s="735">
        <v>0</v>
      </c>
      <c r="N10" s="339"/>
      <c r="O10" s="339"/>
      <c r="P10" s="339"/>
    </row>
    <row r="11" spans="1:20" ht="24.95" customHeight="1" x14ac:dyDescent="0.3">
      <c r="A11" s="372" t="s">
        <v>308</v>
      </c>
      <c r="B11" s="372">
        <v>0</v>
      </c>
      <c r="C11" s="726">
        <v>0</v>
      </c>
      <c r="D11" s="734">
        <v>0</v>
      </c>
      <c r="E11" s="372">
        <v>0</v>
      </c>
      <c r="F11" s="778">
        <v>0</v>
      </c>
      <c r="G11" s="734">
        <v>0</v>
      </c>
      <c r="I11" s="372" t="s">
        <v>308</v>
      </c>
      <c r="J11" s="372">
        <v>0</v>
      </c>
      <c r="K11" s="778">
        <v>0</v>
      </c>
      <c r="L11" s="734">
        <v>0</v>
      </c>
    </row>
    <row r="12" spans="1:20" ht="24.95" customHeight="1" x14ac:dyDescent="0.3">
      <c r="A12" s="372" t="s">
        <v>309</v>
      </c>
      <c r="B12" s="372">
        <v>0</v>
      </c>
      <c r="C12" s="726">
        <v>0</v>
      </c>
      <c r="D12" s="734">
        <v>0</v>
      </c>
      <c r="E12" s="372">
        <v>0</v>
      </c>
      <c r="F12" s="778">
        <v>0</v>
      </c>
      <c r="G12" s="734">
        <v>0</v>
      </c>
      <c r="I12" s="372" t="s">
        <v>309</v>
      </c>
      <c r="J12" s="372">
        <v>0</v>
      </c>
      <c r="K12" s="778">
        <v>0</v>
      </c>
      <c r="L12" s="734">
        <v>0</v>
      </c>
      <c r="N12" s="379"/>
      <c r="O12" s="342"/>
      <c r="P12" s="342"/>
    </row>
    <row r="13" spans="1:20" ht="24.95" customHeight="1" x14ac:dyDescent="0.3">
      <c r="A13" s="372" t="s">
        <v>310</v>
      </c>
      <c r="B13" s="372">
        <v>0</v>
      </c>
      <c r="C13" s="726">
        <v>0</v>
      </c>
      <c r="D13" s="734">
        <v>0</v>
      </c>
      <c r="E13" s="372">
        <v>0</v>
      </c>
      <c r="F13" s="778">
        <v>0</v>
      </c>
      <c r="G13" s="734">
        <v>0</v>
      </c>
      <c r="I13" s="372" t="s">
        <v>310</v>
      </c>
      <c r="J13" s="372">
        <v>0</v>
      </c>
      <c r="K13" s="778">
        <v>0</v>
      </c>
      <c r="L13" s="734">
        <v>0</v>
      </c>
      <c r="N13" s="379"/>
    </row>
    <row r="14" spans="1:20" ht="24.95" customHeight="1" x14ac:dyDescent="0.3">
      <c r="A14" s="372" t="s">
        <v>311</v>
      </c>
      <c r="B14" s="372">
        <v>0</v>
      </c>
      <c r="C14" s="726">
        <v>0</v>
      </c>
      <c r="D14" s="734">
        <v>0</v>
      </c>
      <c r="E14" s="372">
        <v>0</v>
      </c>
      <c r="F14" s="778">
        <v>0</v>
      </c>
      <c r="G14" s="734">
        <v>0</v>
      </c>
      <c r="I14" s="372" t="s">
        <v>311</v>
      </c>
      <c r="J14" s="372">
        <v>0</v>
      </c>
      <c r="K14" s="778">
        <v>0</v>
      </c>
      <c r="L14" s="734">
        <v>0</v>
      </c>
    </row>
    <row r="15" spans="1:20" ht="24.95" customHeight="1" x14ac:dyDescent="0.3">
      <c r="A15" s="372" t="s">
        <v>312</v>
      </c>
      <c r="B15" s="372">
        <v>0</v>
      </c>
      <c r="C15" s="726">
        <v>0</v>
      </c>
      <c r="D15" s="734">
        <v>0</v>
      </c>
      <c r="E15" s="372">
        <v>0</v>
      </c>
      <c r="F15" s="778">
        <v>0</v>
      </c>
      <c r="G15" s="734">
        <v>0</v>
      </c>
      <c r="I15" s="372" t="s">
        <v>312</v>
      </c>
      <c r="J15" s="372">
        <v>0</v>
      </c>
      <c r="K15" s="778">
        <v>0</v>
      </c>
      <c r="L15" s="734">
        <v>0</v>
      </c>
      <c r="N15" s="379"/>
    </row>
    <row r="16" spans="1:20" ht="24.95" customHeight="1" x14ac:dyDescent="0.3">
      <c r="A16" s="372" t="s">
        <v>313</v>
      </c>
      <c r="B16" s="372">
        <v>0</v>
      </c>
      <c r="C16" s="726">
        <v>0</v>
      </c>
      <c r="D16" s="734">
        <v>0</v>
      </c>
      <c r="E16" s="372">
        <v>0</v>
      </c>
      <c r="F16" s="778">
        <v>0</v>
      </c>
      <c r="G16" s="734">
        <v>0</v>
      </c>
      <c r="I16" s="372" t="s">
        <v>313</v>
      </c>
      <c r="J16" s="372">
        <v>0</v>
      </c>
      <c r="K16" s="778">
        <v>0</v>
      </c>
      <c r="L16" s="734">
        <v>0</v>
      </c>
    </row>
    <row r="17" spans="1:12" ht="24.95" customHeight="1" x14ac:dyDescent="0.3">
      <c r="A17" s="372" t="s">
        <v>314</v>
      </c>
      <c r="B17" s="372">
        <v>0</v>
      </c>
      <c r="C17" s="726">
        <v>0</v>
      </c>
      <c r="D17" s="734">
        <v>0</v>
      </c>
      <c r="E17" s="372">
        <v>0</v>
      </c>
      <c r="F17" s="778">
        <v>0</v>
      </c>
      <c r="G17" s="734">
        <v>0</v>
      </c>
      <c r="I17" s="372" t="s">
        <v>314</v>
      </c>
      <c r="J17" s="372">
        <v>0</v>
      </c>
      <c r="K17" s="778">
        <v>0</v>
      </c>
      <c r="L17" s="734">
        <v>0</v>
      </c>
    </row>
    <row r="18" spans="1:12" ht="24.95" customHeight="1" x14ac:dyDescent="0.3">
      <c r="A18" s="372" t="s">
        <v>315</v>
      </c>
      <c r="B18" s="372">
        <v>0</v>
      </c>
      <c r="C18" s="726">
        <v>0</v>
      </c>
      <c r="D18" s="734">
        <v>0</v>
      </c>
      <c r="E18" s="372">
        <v>0</v>
      </c>
      <c r="F18" s="778">
        <v>0</v>
      </c>
      <c r="G18" s="734">
        <v>0</v>
      </c>
      <c r="I18" s="372" t="s">
        <v>315</v>
      </c>
      <c r="J18" s="372">
        <v>0</v>
      </c>
      <c r="K18" s="778">
        <v>0</v>
      </c>
      <c r="L18" s="734">
        <v>0</v>
      </c>
    </row>
    <row r="19" spans="1:12" ht="24.95" customHeight="1" x14ac:dyDescent="0.3">
      <c r="A19" s="372" t="s">
        <v>390</v>
      </c>
      <c r="B19" s="372">
        <v>0</v>
      </c>
      <c r="C19" s="726">
        <v>0</v>
      </c>
      <c r="D19" s="734">
        <v>0</v>
      </c>
      <c r="E19" s="372">
        <v>0</v>
      </c>
      <c r="F19" s="778">
        <v>0</v>
      </c>
      <c r="G19" s="734">
        <v>0</v>
      </c>
      <c r="I19" s="372" t="s">
        <v>390</v>
      </c>
      <c r="J19" s="372">
        <v>0</v>
      </c>
      <c r="K19" s="778">
        <v>0</v>
      </c>
      <c r="L19" s="734">
        <v>0</v>
      </c>
    </row>
    <row r="20" spans="1:12" s="342" customFormat="1" ht="24.95" customHeight="1" x14ac:dyDescent="0.3">
      <c r="A20" s="526" t="s">
        <v>12</v>
      </c>
      <c r="B20" s="375">
        <v>0</v>
      </c>
      <c r="C20" s="779">
        <v>0</v>
      </c>
      <c r="D20" s="735">
        <v>0</v>
      </c>
      <c r="E20" s="375">
        <v>0</v>
      </c>
      <c r="F20" s="779">
        <v>0</v>
      </c>
      <c r="G20" s="735">
        <v>0</v>
      </c>
      <c r="I20" s="526" t="s">
        <v>12</v>
      </c>
      <c r="J20" s="375">
        <v>0</v>
      </c>
      <c r="K20" s="779">
        <v>0</v>
      </c>
      <c r="L20" s="735">
        <v>0</v>
      </c>
    </row>
    <row r="21" spans="1:12" ht="24.95" customHeight="1" x14ac:dyDescent="0.3">
      <c r="A21" s="372" t="s">
        <v>391</v>
      </c>
      <c r="B21" s="372">
        <v>0</v>
      </c>
      <c r="C21" s="726">
        <v>0</v>
      </c>
      <c r="D21" s="734">
        <v>0</v>
      </c>
      <c r="E21" s="372">
        <v>0</v>
      </c>
      <c r="F21" s="778">
        <v>0</v>
      </c>
      <c r="G21" s="734">
        <v>0</v>
      </c>
      <c r="I21" s="372" t="s">
        <v>391</v>
      </c>
      <c r="J21" s="372">
        <v>0</v>
      </c>
      <c r="K21" s="778">
        <v>0</v>
      </c>
      <c r="L21" s="734">
        <v>0</v>
      </c>
    </row>
    <row r="22" spans="1:12" ht="24.95" customHeight="1" x14ac:dyDescent="0.3">
      <c r="A22" s="372" t="s">
        <v>392</v>
      </c>
      <c r="B22" s="372">
        <v>0</v>
      </c>
      <c r="C22" s="726">
        <v>0</v>
      </c>
      <c r="D22" s="734">
        <v>0</v>
      </c>
      <c r="E22" s="372">
        <v>0</v>
      </c>
      <c r="F22" s="778">
        <v>0</v>
      </c>
      <c r="G22" s="734">
        <v>0</v>
      </c>
      <c r="I22" s="372" t="s">
        <v>392</v>
      </c>
      <c r="J22" s="372">
        <v>0</v>
      </c>
      <c r="K22" s="778">
        <v>0</v>
      </c>
      <c r="L22" s="734">
        <v>0</v>
      </c>
    </row>
    <row r="23" spans="1:12" ht="24.95" customHeight="1" x14ac:dyDescent="0.3">
      <c r="A23" s="372" t="s">
        <v>393</v>
      </c>
      <c r="B23" s="372">
        <v>0</v>
      </c>
      <c r="C23" s="726">
        <v>0</v>
      </c>
      <c r="D23" s="734">
        <v>0</v>
      </c>
      <c r="E23" s="372">
        <v>0</v>
      </c>
      <c r="F23" s="778">
        <v>0</v>
      </c>
      <c r="G23" s="734">
        <v>0</v>
      </c>
      <c r="I23" s="372" t="s">
        <v>393</v>
      </c>
      <c r="J23" s="372">
        <v>0</v>
      </c>
      <c r="K23" s="778">
        <v>0</v>
      </c>
      <c r="L23" s="734">
        <v>0</v>
      </c>
    </row>
    <row r="24" spans="1:12" ht="24.95" customHeight="1" x14ac:dyDescent="0.3">
      <c r="A24" s="372" t="s">
        <v>394</v>
      </c>
      <c r="B24" s="372">
        <v>0</v>
      </c>
      <c r="C24" s="726">
        <v>0</v>
      </c>
      <c r="D24" s="734">
        <v>0</v>
      </c>
      <c r="E24" s="372">
        <v>0</v>
      </c>
      <c r="F24" s="778">
        <v>0</v>
      </c>
      <c r="G24" s="734">
        <v>0</v>
      </c>
      <c r="I24" s="372" t="s">
        <v>394</v>
      </c>
      <c r="J24" s="372">
        <v>0</v>
      </c>
      <c r="K24" s="778">
        <v>0</v>
      </c>
      <c r="L24" s="734">
        <v>0</v>
      </c>
    </row>
    <row r="25" spans="1:12" ht="24.95" customHeight="1" x14ac:dyDescent="0.3">
      <c r="A25" s="377"/>
      <c r="B25" s="377"/>
      <c r="C25" s="780"/>
      <c r="D25" s="736"/>
      <c r="E25" s="377"/>
      <c r="F25" s="780"/>
      <c r="G25" s="736"/>
      <c r="I25" s="377"/>
      <c r="J25" s="377"/>
      <c r="K25" s="780"/>
      <c r="L25" s="736"/>
    </row>
    <row r="37" spans="1:7" x14ac:dyDescent="0.3">
      <c r="A37" s="3516" t="s">
        <v>0</v>
      </c>
      <c r="B37" s="3520" t="s">
        <v>1</v>
      </c>
      <c r="C37" s="3520"/>
      <c r="D37" s="3520"/>
      <c r="E37" s="3520" t="s">
        <v>3</v>
      </c>
      <c r="F37" s="3520"/>
      <c r="G37" s="3520"/>
    </row>
    <row r="38" spans="1:7" x14ac:dyDescent="0.3">
      <c r="A38" s="3517"/>
      <c r="B38" s="380" t="s">
        <v>28</v>
      </c>
      <c r="C38" s="775" t="s">
        <v>34</v>
      </c>
      <c r="D38" s="731" t="s">
        <v>62</v>
      </c>
      <c r="E38" s="380" t="s">
        <v>28</v>
      </c>
      <c r="F38" s="775" t="s">
        <v>34</v>
      </c>
      <c r="G38" s="731" t="s">
        <v>62</v>
      </c>
    </row>
    <row r="39" spans="1:7" ht="19.5" thickBot="1" x14ac:dyDescent="0.35">
      <c r="A39" s="525" t="s">
        <v>28</v>
      </c>
      <c r="B39" s="367">
        <v>0</v>
      </c>
      <c r="C39" s="776">
        <v>0</v>
      </c>
      <c r="D39" s="737">
        <v>0</v>
      </c>
      <c r="E39" s="367">
        <v>0</v>
      </c>
      <c r="F39" s="776">
        <v>0</v>
      </c>
      <c r="G39" s="732">
        <v>0</v>
      </c>
    </row>
    <row r="40" spans="1:7" ht="19.5" thickTop="1" x14ac:dyDescent="0.3">
      <c r="A40" s="369" t="s">
        <v>7</v>
      </c>
      <c r="B40" s="370">
        <v>0</v>
      </c>
      <c r="C40" s="777">
        <v>0</v>
      </c>
      <c r="D40" s="733">
        <v>0</v>
      </c>
      <c r="E40" s="370">
        <v>0</v>
      </c>
      <c r="F40" s="777">
        <v>0</v>
      </c>
      <c r="G40" s="733">
        <v>0</v>
      </c>
    </row>
    <row r="41" spans="1:7" x14ac:dyDescent="0.3">
      <c r="A41" s="398" t="s">
        <v>8</v>
      </c>
      <c r="B41" s="372">
        <v>0</v>
      </c>
      <c r="C41" s="778">
        <v>0</v>
      </c>
      <c r="D41" s="734">
        <v>0</v>
      </c>
      <c r="E41" s="372">
        <v>0</v>
      </c>
      <c r="F41" s="778">
        <v>0</v>
      </c>
      <c r="G41" s="734">
        <v>0</v>
      </c>
    </row>
    <row r="42" spans="1:7" x14ac:dyDescent="0.3">
      <c r="A42" s="398" t="s">
        <v>306</v>
      </c>
      <c r="B42" s="372">
        <v>0</v>
      </c>
      <c r="C42" s="778">
        <v>0</v>
      </c>
      <c r="D42" s="734">
        <v>0</v>
      </c>
      <c r="E42" s="372">
        <v>0</v>
      </c>
      <c r="F42" s="778">
        <v>0</v>
      </c>
      <c r="G42" s="734">
        <v>0</v>
      </c>
    </row>
    <row r="43" spans="1:7" x14ac:dyDescent="0.3">
      <c r="A43" s="372"/>
      <c r="B43" s="372"/>
      <c r="C43" s="778"/>
      <c r="D43" s="734"/>
      <c r="E43" s="372"/>
      <c r="F43" s="778"/>
      <c r="G43" s="734"/>
    </row>
    <row r="44" spans="1:7" x14ac:dyDescent="0.3">
      <c r="A44" s="526" t="s">
        <v>9</v>
      </c>
      <c r="B44" s="375">
        <v>0</v>
      </c>
      <c r="C44" s="779">
        <v>0</v>
      </c>
      <c r="D44" s="735">
        <v>0</v>
      </c>
      <c r="E44" s="375">
        <v>0</v>
      </c>
      <c r="F44" s="779">
        <v>0</v>
      </c>
      <c r="G44" s="735">
        <v>0</v>
      </c>
    </row>
    <row r="45" spans="1:7" x14ac:dyDescent="0.3">
      <c r="A45" s="372" t="s">
        <v>308</v>
      </c>
      <c r="B45" s="372">
        <v>0</v>
      </c>
      <c r="C45" s="778">
        <v>0</v>
      </c>
      <c r="D45" s="734">
        <v>0</v>
      </c>
      <c r="E45" s="372">
        <v>0</v>
      </c>
      <c r="F45" s="778">
        <v>0</v>
      </c>
      <c r="G45" s="734">
        <v>0</v>
      </c>
    </row>
    <row r="46" spans="1:7" x14ac:dyDescent="0.3">
      <c r="A46" s="372" t="s">
        <v>309</v>
      </c>
      <c r="B46" s="372">
        <v>0</v>
      </c>
      <c r="C46" s="778">
        <v>0</v>
      </c>
      <c r="D46" s="734">
        <v>0</v>
      </c>
      <c r="E46" s="372">
        <v>0</v>
      </c>
      <c r="F46" s="778">
        <v>0</v>
      </c>
      <c r="G46" s="734">
        <v>0</v>
      </c>
    </row>
    <row r="47" spans="1:7" x14ac:dyDescent="0.3">
      <c r="A47" s="372" t="s">
        <v>310</v>
      </c>
      <c r="B47" s="372">
        <v>0</v>
      </c>
      <c r="C47" s="778">
        <v>0</v>
      </c>
      <c r="D47" s="734">
        <v>0</v>
      </c>
      <c r="E47" s="372">
        <v>0</v>
      </c>
      <c r="F47" s="778">
        <v>0</v>
      </c>
      <c r="G47" s="734">
        <v>0</v>
      </c>
    </row>
    <row r="48" spans="1:7" x14ac:dyDescent="0.3">
      <c r="A48" s="372" t="s">
        <v>311</v>
      </c>
      <c r="B48" s="372">
        <v>0</v>
      </c>
      <c r="C48" s="778">
        <v>0</v>
      </c>
      <c r="D48" s="734">
        <v>0</v>
      </c>
      <c r="E48" s="372">
        <v>0</v>
      </c>
      <c r="F48" s="778">
        <v>0</v>
      </c>
      <c r="G48" s="734">
        <v>0</v>
      </c>
    </row>
    <row r="49" spans="1:7" x14ac:dyDescent="0.3">
      <c r="A49" s="372" t="s">
        <v>312</v>
      </c>
      <c r="B49" s="372">
        <v>0</v>
      </c>
      <c r="C49" s="778">
        <v>0</v>
      </c>
      <c r="D49" s="734">
        <v>0</v>
      </c>
      <c r="E49" s="372">
        <v>0</v>
      </c>
      <c r="F49" s="778">
        <v>0</v>
      </c>
      <c r="G49" s="734">
        <v>0</v>
      </c>
    </row>
    <row r="50" spans="1:7" x14ac:dyDescent="0.3">
      <c r="A50" s="372" t="s">
        <v>313</v>
      </c>
      <c r="B50" s="372">
        <v>0</v>
      </c>
      <c r="C50" s="778">
        <v>0</v>
      </c>
      <c r="D50" s="734">
        <v>0</v>
      </c>
      <c r="E50" s="372">
        <v>0</v>
      </c>
      <c r="F50" s="778">
        <v>0</v>
      </c>
      <c r="G50" s="734">
        <v>0</v>
      </c>
    </row>
    <row r="51" spans="1:7" x14ac:dyDescent="0.3">
      <c r="A51" s="372" t="s">
        <v>314</v>
      </c>
      <c r="B51" s="372">
        <v>0</v>
      </c>
      <c r="C51" s="778">
        <v>0</v>
      </c>
      <c r="D51" s="734">
        <v>0</v>
      </c>
      <c r="E51" s="372">
        <v>0</v>
      </c>
      <c r="F51" s="778">
        <v>0</v>
      </c>
      <c r="G51" s="734">
        <v>0</v>
      </c>
    </row>
    <row r="52" spans="1:7" x14ac:dyDescent="0.3">
      <c r="A52" s="372" t="s">
        <v>315</v>
      </c>
      <c r="B52" s="372">
        <v>0</v>
      </c>
      <c r="C52" s="778">
        <v>0</v>
      </c>
      <c r="D52" s="734">
        <v>0</v>
      </c>
      <c r="E52" s="372">
        <v>0</v>
      </c>
      <c r="F52" s="778">
        <v>0</v>
      </c>
      <c r="G52" s="734">
        <v>0</v>
      </c>
    </row>
    <row r="53" spans="1:7" x14ac:dyDescent="0.3">
      <c r="A53" s="372" t="s">
        <v>390</v>
      </c>
      <c r="B53" s="372">
        <v>0</v>
      </c>
      <c r="C53" s="778">
        <v>0</v>
      </c>
      <c r="D53" s="734">
        <v>0</v>
      </c>
      <c r="E53" s="372"/>
      <c r="F53" s="778">
        <v>0</v>
      </c>
      <c r="G53" s="734">
        <v>0</v>
      </c>
    </row>
    <row r="54" spans="1:7" x14ac:dyDescent="0.3">
      <c r="A54" s="526" t="s">
        <v>12</v>
      </c>
      <c r="B54" s="375">
        <v>0</v>
      </c>
      <c r="C54" s="779">
        <v>0</v>
      </c>
      <c r="D54" s="735">
        <v>0</v>
      </c>
      <c r="E54" s="375">
        <v>0</v>
      </c>
      <c r="F54" s="779">
        <v>0</v>
      </c>
      <c r="G54" s="735">
        <v>0</v>
      </c>
    </row>
    <row r="55" spans="1:7" x14ac:dyDescent="0.3">
      <c r="A55" s="372" t="s">
        <v>391</v>
      </c>
      <c r="B55" s="372">
        <v>0</v>
      </c>
      <c r="C55" s="778">
        <v>0</v>
      </c>
      <c r="D55" s="734">
        <v>0</v>
      </c>
      <c r="E55" s="372">
        <v>0</v>
      </c>
      <c r="F55" s="778">
        <v>0</v>
      </c>
      <c r="G55" s="734">
        <v>0</v>
      </c>
    </row>
    <row r="56" spans="1:7" x14ac:dyDescent="0.3">
      <c r="A56" s="372" t="s">
        <v>392</v>
      </c>
      <c r="B56" s="372">
        <v>0</v>
      </c>
      <c r="C56" s="778">
        <v>0</v>
      </c>
      <c r="D56" s="734">
        <v>0</v>
      </c>
      <c r="E56" s="372">
        <v>0</v>
      </c>
      <c r="F56" s="778">
        <v>0</v>
      </c>
      <c r="G56" s="734">
        <v>0</v>
      </c>
    </row>
    <row r="57" spans="1:7" x14ac:dyDescent="0.3">
      <c r="A57" s="372" t="s">
        <v>393</v>
      </c>
      <c r="B57" s="372">
        <v>0</v>
      </c>
      <c r="C57" s="778">
        <v>0</v>
      </c>
      <c r="D57" s="734">
        <v>0</v>
      </c>
      <c r="E57" s="372">
        <v>0</v>
      </c>
      <c r="F57" s="778">
        <v>0</v>
      </c>
      <c r="G57" s="734">
        <v>0</v>
      </c>
    </row>
    <row r="58" spans="1:7" x14ac:dyDescent="0.3">
      <c r="A58" s="372" t="s">
        <v>394</v>
      </c>
      <c r="B58" s="372">
        <v>0</v>
      </c>
      <c r="C58" s="778">
        <v>0</v>
      </c>
      <c r="D58" s="734">
        <v>0</v>
      </c>
      <c r="E58" s="372">
        <v>0</v>
      </c>
      <c r="F58" s="778">
        <v>0</v>
      </c>
      <c r="G58" s="734">
        <v>0</v>
      </c>
    </row>
    <row r="59" spans="1:7" s="379" customFormat="1" x14ac:dyDescent="0.3">
      <c r="A59" s="373" t="s">
        <v>1053</v>
      </c>
      <c r="B59" s="372">
        <v>993850</v>
      </c>
      <c r="C59" s="778">
        <v>0</v>
      </c>
      <c r="D59" s="734">
        <v>993850</v>
      </c>
      <c r="E59" s="373"/>
      <c r="F59" s="1453"/>
      <c r="G59" s="741"/>
    </row>
    <row r="60" spans="1:7" x14ac:dyDescent="0.3">
      <c r="A60" s="377"/>
      <c r="B60" s="377"/>
      <c r="C60" s="780"/>
      <c r="D60" s="736"/>
      <c r="E60" s="377"/>
      <c r="F60" s="780"/>
      <c r="G60" s="736"/>
    </row>
    <row r="75" spans="1:7" x14ac:dyDescent="0.3">
      <c r="A75" s="3516" t="s">
        <v>0</v>
      </c>
      <c r="B75" s="3520" t="s">
        <v>24</v>
      </c>
      <c r="C75" s="3520"/>
      <c r="D75" s="3520"/>
      <c r="E75" s="3520" t="s">
        <v>23</v>
      </c>
      <c r="F75" s="3520"/>
      <c r="G75" s="3520"/>
    </row>
    <row r="76" spans="1:7" x14ac:dyDescent="0.3">
      <c r="A76" s="3517"/>
      <c r="B76" s="380" t="s">
        <v>28</v>
      </c>
      <c r="C76" s="775" t="s">
        <v>34</v>
      </c>
      <c r="D76" s="731" t="s">
        <v>62</v>
      </c>
      <c r="E76" s="380" t="s">
        <v>28</v>
      </c>
      <c r="F76" s="775" t="s">
        <v>34</v>
      </c>
      <c r="G76" s="731" t="s">
        <v>62</v>
      </c>
    </row>
    <row r="77" spans="1:7" ht="19.5" thickBot="1" x14ac:dyDescent="0.35">
      <c r="A77" s="525" t="s">
        <v>28</v>
      </c>
      <c r="B77" s="367">
        <v>0</v>
      </c>
      <c r="C77" s="776">
        <v>0</v>
      </c>
      <c r="D77" s="732">
        <v>0</v>
      </c>
      <c r="E77" s="367">
        <v>0</v>
      </c>
      <c r="F77" s="776">
        <v>0</v>
      </c>
      <c r="G77" s="732">
        <v>0</v>
      </c>
    </row>
    <row r="78" spans="1:7" ht="19.5" thickTop="1" x14ac:dyDescent="0.3">
      <c r="A78" s="369" t="s">
        <v>7</v>
      </c>
      <c r="B78" s="370">
        <v>0</v>
      </c>
      <c r="C78" s="777">
        <v>0</v>
      </c>
      <c r="D78" s="733">
        <v>0</v>
      </c>
      <c r="E78" s="370">
        <v>0</v>
      </c>
      <c r="F78" s="777">
        <v>0</v>
      </c>
      <c r="G78" s="733">
        <v>0</v>
      </c>
    </row>
    <row r="79" spans="1:7" x14ac:dyDescent="0.3">
      <c r="A79" s="398" t="s">
        <v>8</v>
      </c>
      <c r="B79" s="372">
        <v>0</v>
      </c>
      <c r="C79" s="778"/>
      <c r="D79" s="734"/>
      <c r="E79" s="372">
        <v>0</v>
      </c>
      <c r="F79" s="778">
        <v>0</v>
      </c>
      <c r="G79" s="734">
        <v>0</v>
      </c>
    </row>
    <row r="80" spans="1:7" x14ac:dyDescent="0.3">
      <c r="A80" s="398" t="s">
        <v>306</v>
      </c>
      <c r="B80" s="372">
        <v>0</v>
      </c>
      <c r="C80" s="778"/>
      <c r="D80" s="734"/>
      <c r="E80" s="372">
        <v>0</v>
      </c>
      <c r="F80" s="778">
        <v>0</v>
      </c>
      <c r="G80" s="734">
        <v>0</v>
      </c>
    </row>
    <row r="81" spans="1:7" x14ac:dyDescent="0.3">
      <c r="A81" s="372"/>
      <c r="B81" s="372"/>
      <c r="C81" s="778"/>
      <c r="D81" s="734"/>
      <c r="E81" s="372"/>
      <c r="F81" s="778"/>
      <c r="G81" s="734"/>
    </row>
    <row r="82" spans="1:7" x14ac:dyDescent="0.3">
      <c r="A82" s="526" t="s">
        <v>9</v>
      </c>
      <c r="B82" s="375">
        <v>0</v>
      </c>
      <c r="C82" s="779">
        <v>0</v>
      </c>
      <c r="D82" s="735">
        <v>0</v>
      </c>
      <c r="E82" s="375">
        <v>0</v>
      </c>
      <c r="F82" s="779">
        <v>0</v>
      </c>
      <c r="G82" s="735">
        <v>0</v>
      </c>
    </row>
    <row r="83" spans="1:7" x14ac:dyDescent="0.3">
      <c r="A83" s="372" t="s">
        <v>308</v>
      </c>
      <c r="B83" s="372">
        <v>0</v>
      </c>
      <c r="C83" s="778"/>
      <c r="D83" s="734"/>
      <c r="E83" s="372">
        <v>0</v>
      </c>
      <c r="F83" s="778">
        <v>0</v>
      </c>
      <c r="G83" s="734">
        <v>0</v>
      </c>
    </row>
    <row r="84" spans="1:7" x14ac:dyDescent="0.3">
      <c r="A84" s="372" t="s">
        <v>309</v>
      </c>
      <c r="B84" s="372">
        <v>0</v>
      </c>
      <c r="C84" s="778"/>
      <c r="D84" s="734"/>
      <c r="E84" s="372">
        <v>0</v>
      </c>
      <c r="F84" s="778">
        <v>0</v>
      </c>
      <c r="G84" s="734">
        <v>0</v>
      </c>
    </row>
    <row r="85" spans="1:7" x14ac:dyDescent="0.3">
      <c r="A85" s="372" t="s">
        <v>310</v>
      </c>
      <c r="B85" s="372">
        <v>0</v>
      </c>
      <c r="C85" s="778"/>
      <c r="D85" s="734"/>
      <c r="E85" s="372">
        <v>0</v>
      </c>
      <c r="F85" s="778">
        <v>0</v>
      </c>
      <c r="G85" s="734">
        <v>0</v>
      </c>
    </row>
    <row r="86" spans="1:7" x14ac:dyDescent="0.3">
      <c r="A86" s="372" t="s">
        <v>311</v>
      </c>
      <c r="B86" s="372">
        <v>0</v>
      </c>
      <c r="C86" s="778"/>
      <c r="D86" s="734"/>
      <c r="E86" s="372">
        <v>0</v>
      </c>
      <c r="F86" s="778">
        <v>0</v>
      </c>
      <c r="G86" s="734">
        <v>0</v>
      </c>
    </row>
    <row r="87" spans="1:7" x14ac:dyDescent="0.3">
      <c r="A87" s="372" t="s">
        <v>312</v>
      </c>
      <c r="B87" s="372">
        <v>0</v>
      </c>
      <c r="C87" s="778"/>
      <c r="D87" s="734"/>
      <c r="E87" s="372">
        <v>0</v>
      </c>
      <c r="F87" s="778">
        <v>0</v>
      </c>
      <c r="G87" s="734">
        <v>0</v>
      </c>
    </row>
    <row r="88" spans="1:7" x14ac:dyDescent="0.3">
      <c r="A88" s="372" t="s">
        <v>313</v>
      </c>
      <c r="B88" s="372">
        <v>0</v>
      </c>
      <c r="C88" s="778"/>
      <c r="D88" s="734"/>
      <c r="E88" s="372">
        <v>0</v>
      </c>
      <c r="F88" s="778">
        <v>0</v>
      </c>
      <c r="G88" s="734">
        <v>0</v>
      </c>
    </row>
    <row r="89" spans="1:7" x14ac:dyDescent="0.3">
      <c r="A89" s="372" t="s">
        <v>314</v>
      </c>
      <c r="B89" s="372"/>
      <c r="C89" s="778"/>
      <c r="D89" s="734"/>
      <c r="E89" s="372"/>
      <c r="F89" s="778">
        <v>0</v>
      </c>
      <c r="G89" s="734">
        <v>0</v>
      </c>
    </row>
    <row r="90" spans="1:7" x14ac:dyDescent="0.3">
      <c r="A90" s="372" t="s">
        <v>315</v>
      </c>
      <c r="B90" s="372"/>
      <c r="C90" s="778"/>
      <c r="D90" s="734"/>
      <c r="E90" s="372"/>
      <c r="F90" s="778">
        <v>0</v>
      </c>
      <c r="G90" s="734">
        <v>0</v>
      </c>
    </row>
    <row r="91" spans="1:7" x14ac:dyDescent="0.3">
      <c r="A91" s="372"/>
      <c r="B91" s="372"/>
      <c r="C91" s="778"/>
      <c r="D91" s="734"/>
      <c r="E91" s="372"/>
      <c r="F91" s="778"/>
      <c r="G91" s="734"/>
    </row>
    <row r="92" spans="1:7" x14ac:dyDescent="0.3">
      <c r="A92" s="526" t="s">
        <v>12</v>
      </c>
      <c r="B92" s="375">
        <v>0</v>
      </c>
      <c r="C92" s="779">
        <v>0</v>
      </c>
      <c r="D92" s="735">
        <v>0</v>
      </c>
      <c r="E92" s="375">
        <v>0</v>
      </c>
      <c r="F92" s="779">
        <v>0</v>
      </c>
      <c r="G92" s="735">
        <v>0</v>
      </c>
    </row>
    <row r="93" spans="1:7" x14ac:dyDescent="0.3">
      <c r="A93" s="372" t="s">
        <v>316</v>
      </c>
      <c r="B93" s="372">
        <v>0</v>
      </c>
      <c r="C93" s="778"/>
      <c r="D93" s="734"/>
      <c r="E93" s="372">
        <v>0</v>
      </c>
      <c r="F93" s="778">
        <v>0</v>
      </c>
      <c r="G93" s="734">
        <v>0</v>
      </c>
    </row>
    <row r="94" spans="1:7" x14ac:dyDescent="0.3">
      <c r="A94" s="372" t="s">
        <v>317</v>
      </c>
      <c r="B94" s="372">
        <v>0</v>
      </c>
      <c r="C94" s="778"/>
      <c r="D94" s="734"/>
      <c r="E94" s="372">
        <v>0</v>
      </c>
      <c r="F94" s="778">
        <v>0</v>
      </c>
      <c r="G94" s="734">
        <v>0</v>
      </c>
    </row>
    <row r="95" spans="1:7" x14ac:dyDescent="0.3">
      <c r="A95" s="372" t="s">
        <v>318</v>
      </c>
      <c r="B95" s="372">
        <v>0</v>
      </c>
      <c r="C95" s="778"/>
      <c r="D95" s="734"/>
      <c r="E95" s="372">
        <v>0</v>
      </c>
      <c r="F95" s="778">
        <v>0</v>
      </c>
      <c r="G95" s="734">
        <v>0</v>
      </c>
    </row>
    <row r="96" spans="1:7" x14ac:dyDescent="0.3">
      <c r="A96" s="372" t="s">
        <v>319</v>
      </c>
      <c r="B96" s="372">
        <v>0</v>
      </c>
      <c r="C96" s="778"/>
      <c r="D96" s="734"/>
      <c r="E96" s="372">
        <v>0</v>
      </c>
      <c r="F96" s="778">
        <v>0</v>
      </c>
      <c r="G96" s="734">
        <v>0</v>
      </c>
    </row>
    <row r="97" spans="1:7" s="379" customFormat="1" x14ac:dyDescent="0.3">
      <c r="A97" s="378" t="s">
        <v>997</v>
      </c>
      <c r="B97" s="378">
        <v>0</v>
      </c>
      <c r="C97" s="2970"/>
      <c r="D97" s="749"/>
      <c r="E97" s="378">
        <v>0</v>
      </c>
      <c r="F97" s="2970">
        <v>0</v>
      </c>
      <c r="G97" s="749">
        <v>0</v>
      </c>
    </row>
    <row r="112" spans="1:7" x14ac:dyDescent="0.3">
      <c r="A112" s="3516" t="s">
        <v>0</v>
      </c>
      <c r="B112" s="3520" t="s">
        <v>4</v>
      </c>
      <c r="C112" s="3520"/>
      <c r="D112" s="3520"/>
      <c r="E112" s="3520" t="s">
        <v>20</v>
      </c>
      <c r="F112" s="3520"/>
      <c r="G112" s="3520"/>
    </row>
    <row r="113" spans="1:7" x14ac:dyDescent="0.3">
      <c r="A113" s="3517"/>
      <c r="B113" s="380" t="s">
        <v>28</v>
      </c>
      <c r="C113" s="775" t="s">
        <v>34</v>
      </c>
      <c r="D113" s="731" t="s">
        <v>62</v>
      </c>
      <c r="E113" s="380" t="s">
        <v>28</v>
      </c>
      <c r="F113" s="775" t="s">
        <v>34</v>
      </c>
      <c r="G113" s="731" t="s">
        <v>62</v>
      </c>
    </row>
    <row r="114" spans="1:7" ht="19.5" thickBot="1" x14ac:dyDescent="0.35">
      <c r="A114" s="525" t="s">
        <v>28</v>
      </c>
      <c r="B114" s="367">
        <v>0</v>
      </c>
      <c r="C114" s="776">
        <v>0</v>
      </c>
      <c r="D114" s="732">
        <v>0</v>
      </c>
      <c r="E114" s="367">
        <v>0</v>
      </c>
      <c r="F114" s="776">
        <v>0</v>
      </c>
      <c r="G114" s="732">
        <v>0</v>
      </c>
    </row>
    <row r="115" spans="1:7" ht="19.5" thickTop="1" x14ac:dyDescent="0.3">
      <c r="A115" s="369" t="s">
        <v>7</v>
      </c>
      <c r="B115" s="370">
        <v>0</v>
      </c>
      <c r="C115" s="777">
        <v>0</v>
      </c>
      <c r="D115" s="733">
        <v>0</v>
      </c>
      <c r="E115" s="370">
        <v>0</v>
      </c>
      <c r="F115" s="777">
        <v>0</v>
      </c>
      <c r="G115" s="733">
        <v>0</v>
      </c>
    </row>
    <row r="116" spans="1:7" x14ac:dyDescent="0.3">
      <c r="A116" s="398" t="s">
        <v>8</v>
      </c>
      <c r="B116" s="372">
        <v>0</v>
      </c>
      <c r="C116" s="778">
        <v>0</v>
      </c>
      <c r="D116" s="734">
        <v>0</v>
      </c>
      <c r="E116" s="372">
        <v>0</v>
      </c>
      <c r="F116" s="778"/>
      <c r="G116" s="734"/>
    </row>
    <row r="117" spans="1:7" x14ac:dyDescent="0.3">
      <c r="A117" s="398" t="s">
        <v>306</v>
      </c>
      <c r="B117" s="372">
        <v>0</v>
      </c>
      <c r="C117" s="778">
        <v>0</v>
      </c>
      <c r="D117" s="734">
        <v>0</v>
      </c>
      <c r="E117" s="372">
        <v>0</v>
      </c>
      <c r="F117" s="778"/>
      <c r="G117" s="734"/>
    </row>
    <row r="118" spans="1:7" x14ac:dyDescent="0.3">
      <c r="A118" s="372"/>
      <c r="B118" s="372"/>
      <c r="C118" s="778"/>
      <c r="D118" s="734"/>
      <c r="E118" s="372"/>
      <c r="F118" s="778"/>
      <c r="G118" s="734"/>
    </row>
    <row r="119" spans="1:7" x14ac:dyDescent="0.3">
      <c r="A119" s="526" t="s">
        <v>9</v>
      </c>
      <c r="B119" s="375">
        <v>0</v>
      </c>
      <c r="C119" s="779">
        <v>0</v>
      </c>
      <c r="D119" s="735">
        <v>0</v>
      </c>
      <c r="E119" s="375">
        <v>0</v>
      </c>
      <c r="F119" s="779">
        <v>0</v>
      </c>
      <c r="G119" s="735">
        <v>0</v>
      </c>
    </row>
    <row r="120" spans="1:7" x14ac:dyDescent="0.3">
      <c r="A120" s="372" t="s">
        <v>308</v>
      </c>
      <c r="B120" s="372">
        <v>0</v>
      </c>
      <c r="C120" s="778">
        <v>0</v>
      </c>
      <c r="D120" s="734">
        <v>0</v>
      </c>
      <c r="E120" s="372">
        <v>0</v>
      </c>
      <c r="F120" s="778"/>
      <c r="G120" s="734"/>
    </row>
    <row r="121" spans="1:7" x14ac:dyDescent="0.3">
      <c r="A121" s="372" t="s">
        <v>309</v>
      </c>
      <c r="B121" s="372">
        <v>0</v>
      </c>
      <c r="C121" s="778">
        <v>0</v>
      </c>
      <c r="D121" s="734">
        <v>0</v>
      </c>
      <c r="E121" s="372">
        <v>0</v>
      </c>
      <c r="F121" s="778"/>
      <c r="G121" s="734"/>
    </row>
    <row r="122" spans="1:7" x14ac:dyDescent="0.3">
      <c r="A122" s="372" t="s">
        <v>310</v>
      </c>
      <c r="B122" s="372">
        <v>0</v>
      </c>
      <c r="C122" s="778">
        <v>0</v>
      </c>
      <c r="D122" s="734">
        <v>0</v>
      </c>
      <c r="E122" s="372">
        <v>0</v>
      </c>
      <c r="F122" s="778"/>
      <c r="G122" s="734"/>
    </row>
    <row r="123" spans="1:7" x14ac:dyDescent="0.3">
      <c r="A123" s="372" t="s">
        <v>311</v>
      </c>
      <c r="B123" s="372">
        <v>0</v>
      </c>
      <c r="C123" s="778">
        <v>0</v>
      </c>
      <c r="D123" s="734">
        <v>0</v>
      </c>
      <c r="E123" s="372">
        <v>0</v>
      </c>
      <c r="F123" s="778"/>
      <c r="G123" s="734"/>
    </row>
    <row r="124" spans="1:7" x14ac:dyDescent="0.3">
      <c r="A124" s="372" t="s">
        <v>312</v>
      </c>
      <c r="B124" s="372">
        <v>0</v>
      </c>
      <c r="C124" s="778">
        <v>0</v>
      </c>
      <c r="D124" s="734">
        <v>0</v>
      </c>
      <c r="E124" s="372">
        <v>0</v>
      </c>
      <c r="F124" s="778"/>
      <c r="G124" s="734"/>
    </row>
    <row r="125" spans="1:7" x14ac:dyDescent="0.3">
      <c r="A125" s="372" t="s">
        <v>313</v>
      </c>
      <c r="B125" s="372">
        <v>0</v>
      </c>
      <c r="C125" s="778">
        <v>0</v>
      </c>
      <c r="D125" s="734">
        <v>0</v>
      </c>
      <c r="E125" s="372">
        <v>0</v>
      </c>
      <c r="F125" s="778"/>
      <c r="G125" s="734"/>
    </row>
    <row r="126" spans="1:7" x14ac:dyDescent="0.3">
      <c r="A126" s="372" t="s">
        <v>314</v>
      </c>
      <c r="B126" s="372">
        <v>0</v>
      </c>
      <c r="C126" s="778">
        <v>0</v>
      </c>
      <c r="D126" s="734">
        <v>0</v>
      </c>
      <c r="E126" s="372">
        <v>0</v>
      </c>
      <c r="F126" s="778"/>
      <c r="G126" s="734"/>
    </row>
    <row r="127" spans="1:7" x14ac:dyDescent="0.3">
      <c r="A127" s="372" t="s">
        <v>315</v>
      </c>
      <c r="B127" s="372">
        <v>0</v>
      </c>
      <c r="C127" s="778">
        <v>0</v>
      </c>
      <c r="D127" s="734">
        <v>0</v>
      </c>
      <c r="E127" s="372">
        <v>0</v>
      </c>
      <c r="F127" s="778"/>
      <c r="G127" s="734"/>
    </row>
    <row r="128" spans="1:7" x14ac:dyDescent="0.3">
      <c r="A128" s="372" t="s">
        <v>390</v>
      </c>
      <c r="B128" s="372">
        <v>0</v>
      </c>
      <c r="C128" s="778">
        <v>0</v>
      </c>
      <c r="D128" s="734">
        <v>0</v>
      </c>
      <c r="E128" s="372"/>
      <c r="F128" s="778"/>
      <c r="G128" s="734"/>
    </row>
    <row r="129" spans="1:7" x14ac:dyDescent="0.3">
      <c r="A129" s="526" t="s">
        <v>12</v>
      </c>
      <c r="B129" s="375">
        <v>0</v>
      </c>
      <c r="C129" s="779">
        <v>0</v>
      </c>
      <c r="D129" s="735">
        <v>0</v>
      </c>
      <c r="E129" s="375">
        <v>0</v>
      </c>
      <c r="F129" s="779">
        <v>0</v>
      </c>
      <c r="G129" s="735">
        <v>0</v>
      </c>
    </row>
    <row r="130" spans="1:7" x14ac:dyDescent="0.3">
      <c r="A130" s="372" t="s">
        <v>391</v>
      </c>
      <c r="B130" s="372">
        <v>0</v>
      </c>
      <c r="C130" s="778">
        <v>0</v>
      </c>
      <c r="D130" s="734">
        <v>0</v>
      </c>
      <c r="E130" s="372">
        <v>0</v>
      </c>
      <c r="F130" s="778"/>
      <c r="G130" s="734"/>
    </row>
    <row r="131" spans="1:7" x14ac:dyDescent="0.3">
      <c r="A131" s="372" t="s">
        <v>392</v>
      </c>
      <c r="B131" s="372">
        <v>0</v>
      </c>
      <c r="C131" s="778">
        <v>0</v>
      </c>
      <c r="D131" s="734">
        <v>0</v>
      </c>
      <c r="E131" s="372">
        <v>0</v>
      </c>
      <c r="F131" s="778"/>
      <c r="G131" s="734"/>
    </row>
    <row r="132" spans="1:7" x14ac:dyDescent="0.3">
      <c r="A132" s="372" t="s">
        <v>393</v>
      </c>
      <c r="B132" s="372">
        <v>0</v>
      </c>
      <c r="C132" s="778">
        <v>0</v>
      </c>
      <c r="D132" s="734">
        <v>0</v>
      </c>
      <c r="E132" s="372">
        <v>0</v>
      </c>
      <c r="F132" s="778"/>
      <c r="G132" s="734"/>
    </row>
    <row r="133" spans="1:7" x14ac:dyDescent="0.3">
      <c r="A133" s="372" t="s">
        <v>394</v>
      </c>
      <c r="B133" s="372">
        <v>0</v>
      </c>
      <c r="C133" s="778">
        <v>0</v>
      </c>
      <c r="D133" s="734">
        <v>0</v>
      </c>
      <c r="E133" s="372">
        <v>0</v>
      </c>
      <c r="F133" s="778"/>
      <c r="G133" s="734"/>
    </row>
    <row r="134" spans="1:7" x14ac:dyDescent="0.3">
      <c r="A134" s="377"/>
      <c r="B134" s="377"/>
      <c r="C134" s="780"/>
      <c r="D134" s="736"/>
      <c r="E134" s="377"/>
      <c r="F134" s="780"/>
      <c r="G134" s="736"/>
    </row>
    <row r="149" spans="1:7" x14ac:dyDescent="0.3">
      <c r="A149" s="3516" t="s">
        <v>0</v>
      </c>
      <c r="B149" s="3520" t="s">
        <v>5</v>
      </c>
      <c r="C149" s="3520"/>
      <c r="D149" s="3520"/>
      <c r="E149" s="3520" t="s">
        <v>21</v>
      </c>
      <c r="F149" s="3520"/>
      <c r="G149" s="3520"/>
    </row>
    <row r="150" spans="1:7" x14ac:dyDescent="0.3">
      <c r="A150" s="3517"/>
      <c r="B150" s="380" t="s">
        <v>28</v>
      </c>
      <c r="C150" s="775" t="s">
        <v>34</v>
      </c>
      <c r="D150" s="731" t="s">
        <v>62</v>
      </c>
      <c r="E150" s="380" t="s">
        <v>28</v>
      </c>
      <c r="F150" s="775" t="s">
        <v>34</v>
      </c>
      <c r="G150" s="731" t="s">
        <v>62</v>
      </c>
    </row>
    <row r="151" spans="1:7" ht="19.5" thickBot="1" x14ac:dyDescent="0.35">
      <c r="A151" s="525" t="s">
        <v>28</v>
      </c>
      <c r="B151" s="367">
        <v>0</v>
      </c>
      <c r="C151" s="776">
        <v>0</v>
      </c>
      <c r="D151" s="732">
        <v>0</v>
      </c>
      <c r="E151" s="367">
        <v>0</v>
      </c>
      <c r="F151" s="776">
        <v>0</v>
      </c>
      <c r="G151" s="732">
        <v>0</v>
      </c>
    </row>
    <row r="152" spans="1:7" ht="19.5" thickTop="1" x14ac:dyDescent="0.3">
      <c r="A152" s="369" t="s">
        <v>7</v>
      </c>
      <c r="B152" s="370">
        <v>0</v>
      </c>
      <c r="C152" s="777">
        <v>0</v>
      </c>
      <c r="D152" s="733">
        <v>0</v>
      </c>
      <c r="E152" s="370">
        <v>0</v>
      </c>
      <c r="F152" s="777">
        <v>0</v>
      </c>
      <c r="G152" s="733">
        <v>0</v>
      </c>
    </row>
    <row r="153" spans="1:7" x14ac:dyDescent="0.3">
      <c r="A153" s="398" t="s">
        <v>8</v>
      </c>
      <c r="B153" s="372">
        <v>0</v>
      </c>
      <c r="C153" s="778"/>
      <c r="D153" s="734"/>
      <c r="E153" s="372">
        <v>0</v>
      </c>
      <c r="F153" s="778">
        <v>0</v>
      </c>
      <c r="G153" s="734">
        <v>0</v>
      </c>
    </row>
    <row r="154" spans="1:7" x14ac:dyDescent="0.3">
      <c r="A154" s="398" t="s">
        <v>306</v>
      </c>
      <c r="B154" s="372">
        <v>0</v>
      </c>
      <c r="C154" s="778"/>
      <c r="D154" s="734"/>
      <c r="E154" s="372">
        <v>0</v>
      </c>
      <c r="F154" s="778">
        <v>0</v>
      </c>
      <c r="G154" s="734">
        <v>0</v>
      </c>
    </row>
    <row r="155" spans="1:7" x14ac:dyDescent="0.3">
      <c r="A155" s="372"/>
      <c r="B155" s="372"/>
      <c r="C155" s="778"/>
      <c r="D155" s="734"/>
      <c r="E155" s="372"/>
      <c r="F155" s="778"/>
      <c r="G155" s="734"/>
    </row>
    <row r="156" spans="1:7" x14ac:dyDescent="0.3">
      <c r="A156" s="526" t="s">
        <v>9</v>
      </c>
      <c r="B156" s="375">
        <v>0</v>
      </c>
      <c r="C156" s="779">
        <v>0</v>
      </c>
      <c r="D156" s="735">
        <v>0</v>
      </c>
      <c r="E156" s="375">
        <v>0</v>
      </c>
      <c r="F156" s="779">
        <v>0</v>
      </c>
      <c r="G156" s="735">
        <v>0</v>
      </c>
    </row>
    <row r="157" spans="1:7" x14ac:dyDescent="0.3">
      <c r="A157" s="372" t="s">
        <v>308</v>
      </c>
      <c r="B157" s="372">
        <v>0</v>
      </c>
      <c r="C157" s="778"/>
      <c r="D157" s="734"/>
      <c r="E157" s="372">
        <v>0</v>
      </c>
      <c r="F157" s="778">
        <v>0</v>
      </c>
      <c r="G157" s="734">
        <v>0</v>
      </c>
    </row>
    <row r="158" spans="1:7" x14ac:dyDescent="0.3">
      <c r="A158" s="372" t="s">
        <v>309</v>
      </c>
      <c r="B158" s="372">
        <v>0</v>
      </c>
      <c r="C158" s="778"/>
      <c r="D158" s="734"/>
      <c r="E158" s="372">
        <v>0</v>
      </c>
      <c r="F158" s="778">
        <v>0</v>
      </c>
      <c r="G158" s="734">
        <v>0</v>
      </c>
    </row>
    <row r="159" spans="1:7" x14ac:dyDescent="0.3">
      <c r="A159" s="372" t="s">
        <v>310</v>
      </c>
      <c r="B159" s="372">
        <v>0</v>
      </c>
      <c r="C159" s="778"/>
      <c r="D159" s="734"/>
      <c r="E159" s="372">
        <v>0</v>
      </c>
      <c r="F159" s="778">
        <v>0</v>
      </c>
      <c r="G159" s="734">
        <v>0</v>
      </c>
    </row>
    <row r="160" spans="1:7" x14ac:dyDescent="0.3">
      <c r="A160" s="372" t="s">
        <v>311</v>
      </c>
      <c r="B160" s="372">
        <v>0</v>
      </c>
      <c r="C160" s="778"/>
      <c r="D160" s="734"/>
      <c r="E160" s="372">
        <v>0</v>
      </c>
      <c r="F160" s="778">
        <v>0</v>
      </c>
      <c r="G160" s="734">
        <v>0</v>
      </c>
    </row>
    <row r="161" spans="1:7" x14ac:dyDescent="0.3">
      <c r="A161" s="372" t="s">
        <v>312</v>
      </c>
      <c r="B161" s="372">
        <v>0</v>
      </c>
      <c r="C161" s="778"/>
      <c r="D161" s="734"/>
      <c r="E161" s="372">
        <v>0</v>
      </c>
      <c r="F161" s="778">
        <v>0</v>
      </c>
      <c r="G161" s="734">
        <v>0</v>
      </c>
    </row>
    <row r="162" spans="1:7" x14ac:dyDescent="0.3">
      <c r="A162" s="372" t="s">
        <v>313</v>
      </c>
      <c r="B162" s="372">
        <v>0</v>
      </c>
      <c r="C162" s="778"/>
      <c r="D162" s="734"/>
      <c r="E162" s="372">
        <v>0</v>
      </c>
      <c r="F162" s="778">
        <v>0</v>
      </c>
      <c r="G162" s="734">
        <v>0</v>
      </c>
    </row>
    <row r="163" spans="1:7" x14ac:dyDescent="0.3">
      <c r="A163" s="372" t="s">
        <v>314</v>
      </c>
      <c r="B163" s="372"/>
      <c r="C163" s="778"/>
      <c r="D163" s="734"/>
      <c r="E163" s="372">
        <v>0</v>
      </c>
      <c r="F163" s="778">
        <v>0</v>
      </c>
      <c r="G163" s="734">
        <v>0</v>
      </c>
    </row>
    <row r="164" spans="1:7" x14ac:dyDescent="0.3">
      <c r="A164" s="372" t="s">
        <v>315</v>
      </c>
      <c r="B164" s="372"/>
      <c r="C164" s="778"/>
      <c r="D164" s="734"/>
      <c r="E164" s="372">
        <v>0</v>
      </c>
      <c r="F164" s="778">
        <v>0</v>
      </c>
      <c r="G164" s="734">
        <v>0</v>
      </c>
    </row>
    <row r="165" spans="1:7" x14ac:dyDescent="0.3">
      <c r="A165" s="372"/>
      <c r="B165" s="372"/>
      <c r="C165" s="778"/>
      <c r="D165" s="734"/>
      <c r="E165" s="372"/>
      <c r="F165" s="778"/>
      <c r="G165" s="734"/>
    </row>
    <row r="166" spans="1:7" x14ac:dyDescent="0.3">
      <c r="A166" s="526" t="s">
        <v>12</v>
      </c>
      <c r="B166" s="375">
        <v>0</v>
      </c>
      <c r="C166" s="779">
        <v>0</v>
      </c>
      <c r="D166" s="735">
        <v>0</v>
      </c>
      <c r="E166" s="375">
        <v>0</v>
      </c>
      <c r="F166" s="779">
        <v>0</v>
      </c>
      <c r="G166" s="735">
        <v>0</v>
      </c>
    </row>
    <row r="167" spans="1:7" x14ac:dyDescent="0.3">
      <c r="A167" s="372" t="s">
        <v>316</v>
      </c>
      <c r="B167" s="372">
        <v>0</v>
      </c>
      <c r="C167" s="778"/>
      <c r="D167" s="734"/>
      <c r="E167" s="372">
        <v>0</v>
      </c>
      <c r="F167" s="778">
        <v>0</v>
      </c>
      <c r="G167" s="734">
        <v>0</v>
      </c>
    </row>
    <row r="168" spans="1:7" x14ac:dyDescent="0.3">
      <c r="A168" s="372" t="s">
        <v>317</v>
      </c>
      <c r="B168" s="372">
        <v>0</v>
      </c>
      <c r="C168" s="778"/>
      <c r="D168" s="734"/>
      <c r="E168" s="372">
        <v>0</v>
      </c>
      <c r="F168" s="778">
        <v>0</v>
      </c>
      <c r="G168" s="734">
        <v>0</v>
      </c>
    </row>
    <row r="169" spans="1:7" x14ac:dyDescent="0.3">
      <c r="A169" s="372" t="s">
        <v>318</v>
      </c>
      <c r="B169" s="372">
        <v>0</v>
      </c>
      <c r="C169" s="778"/>
      <c r="D169" s="734"/>
      <c r="E169" s="372">
        <v>0</v>
      </c>
      <c r="F169" s="778">
        <v>0</v>
      </c>
      <c r="G169" s="734">
        <v>0</v>
      </c>
    </row>
    <row r="170" spans="1:7" x14ac:dyDescent="0.3">
      <c r="A170" s="372" t="s">
        <v>319</v>
      </c>
      <c r="B170" s="372">
        <v>0</v>
      </c>
      <c r="C170" s="778"/>
      <c r="D170" s="734"/>
      <c r="E170" s="372">
        <v>0</v>
      </c>
      <c r="F170" s="778">
        <v>0</v>
      </c>
      <c r="G170" s="734">
        <v>0</v>
      </c>
    </row>
    <row r="171" spans="1:7" x14ac:dyDescent="0.3">
      <c r="A171" s="377"/>
      <c r="B171" s="377"/>
      <c r="C171" s="780"/>
      <c r="D171" s="736"/>
      <c r="E171" s="377"/>
      <c r="F171" s="780"/>
      <c r="G171" s="736"/>
    </row>
  </sheetData>
  <mergeCells count="17">
    <mergeCell ref="A3:A4"/>
    <mergeCell ref="B3:D3"/>
    <mergeCell ref="E3:G3"/>
    <mergeCell ref="I3:I4"/>
    <mergeCell ref="J3:L3"/>
    <mergeCell ref="A37:A38"/>
    <mergeCell ref="B37:D37"/>
    <mergeCell ref="E37:G37"/>
    <mergeCell ref="A149:A150"/>
    <mergeCell ref="B149:D149"/>
    <mergeCell ref="E149:G149"/>
    <mergeCell ref="A75:A76"/>
    <mergeCell ref="B75:D75"/>
    <mergeCell ref="E75:G75"/>
    <mergeCell ref="A112:A113"/>
    <mergeCell ref="B112:D112"/>
    <mergeCell ref="E112:G112"/>
  </mergeCells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C426B-8AEC-4D44-9A10-35974E09BD05}">
  <sheetPr>
    <tabColor theme="4" tint="0.59999389629810485"/>
  </sheetPr>
  <dimension ref="A1:T170"/>
  <sheetViews>
    <sheetView zoomScaleNormal="100" workbookViewId="0">
      <selection sqref="A1:XFD1048576"/>
    </sheetView>
  </sheetViews>
  <sheetFormatPr defaultColWidth="9.140625" defaultRowHeight="18.75" x14ac:dyDescent="0.3"/>
  <cols>
    <col min="1" max="1" width="18.140625" style="339" customWidth="1"/>
    <col min="2" max="2" width="9" style="339" customWidth="1"/>
    <col min="3" max="3" width="11.28515625" style="339" customWidth="1"/>
    <col min="4" max="7" width="9" style="339" customWidth="1"/>
    <col min="8" max="8" width="9.140625" style="339"/>
    <col min="9" max="9" width="23.28515625" style="339" customWidth="1"/>
    <col min="10" max="10" width="9.7109375" style="339" customWidth="1"/>
    <col min="11" max="11" width="10.28515625" style="339" customWidth="1"/>
    <col min="12" max="12" width="9.28515625" style="339" customWidth="1"/>
    <col min="13" max="13" width="16.42578125" style="339" customWidth="1"/>
    <col min="14" max="14" width="10.42578125" style="339" customWidth="1"/>
    <col min="15" max="15" width="10" style="339" bestFit="1" customWidth="1"/>
    <col min="16" max="16" width="11" style="339" bestFit="1" customWidth="1"/>
    <col min="17" max="17" width="10.85546875" style="339" customWidth="1"/>
    <col min="18" max="16384" width="9.140625" style="339"/>
  </cols>
  <sheetData>
    <row r="1" spans="1:20" x14ac:dyDescent="0.3">
      <c r="A1" s="342" t="s">
        <v>953</v>
      </c>
      <c r="L1" s="382"/>
      <c r="N1" s="382"/>
      <c r="Q1" s="520"/>
      <c r="R1" s="520"/>
      <c r="S1" s="521"/>
      <c r="T1" s="522"/>
    </row>
    <row r="2" spans="1:20" x14ac:dyDescent="0.3">
      <c r="N2" s="379"/>
      <c r="Q2" s="520"/>
      <c r="R2" s="520"/>
      <c r="S2" s="523"/>
      <c r="T2" s="520"/>
    </row>
    <row r="3" spans="1:20" ht="24.95" customHeight="1" x14ac:dyDescent="0.3">
      <c r="A3" s="3516" t="s">
        <v>0</v>
      </c>
      <c r="B3" s="3520" t="s">
        <v>6</v>
      </c>
      <c r="C3" s="3520"/>
      <c r="D3" s="3520"/>
      <c r="E3" s="3520" t="s">
        <v>2</v>
      </c>
      <c r="F3" s="3520"/>
      <c r="G3" s="3520"/>
      <c r="I3" s="3516" t="s">
        <v>0</v>
      </c>
      <c r="J3" s="3520" t="s">
        <v>28</v>
      </c>
      <c r="K3" s="3520"/>
      <c r="L3" s="3520"/>
      <c r="N3" s="379"/>
      <c r="Q3" s="520"/>
      <c r="R3" s="520"/>
      <c r="S3" s="520"/>
      <c r="T3" s="520"/>
    </row>
    <row r="4" spans="1:20" ht="24.95" customHeight="1" x14ac:dyDescent="0.3">
      <c r="A4" s="3517"/>
      <c r="B4" s="380" t="s">
        <v>28</v>
      </c>
      <c r="C4" s="775" t="s">
        <v>34</v>
      </c>
      <c r="D4" s="731" t="s">
        <v>62</v>
      </c>
      <c r="E4" s="380" t="s">
        <v>28</v>
      </c>
      <c r="F4" s="775" t="s">
        <v>34</v>
      </c>
      <c r="G4" s="731" t="s">
        <v>62</v>
      </c>
      <c r="I4" s="3517"/>
      <c r="J4" s="380" t="s">
        <v>28</v>
      </c>
      <c r="K4" s="775" t="s">
        <v>34</v>
      </c>
      <c r="L4" s="731" t="s">
        <v>62</v>
      </c>
      <c r="N4" s="379"/>
      <c r="Q4" s="520"/>
    </row>
    <row r="5" spans="1:20" ht="24.95" customHeight="1" thickBot="1" x14ac:dyDescent="0.35">
      <c r="A5" s="525" t="s">
        <v>28</v>
      </c>
      <c r="B5" s="367">
        <v>0</v>
      </c>
      <c r="C5" s="776">
        <v>0</v>
      </c>
      <c r="D5" s="732">
        <v>0</v>
      </c>
      <c r="E5" s="367">
        <v>0</v>
      </c>
      <c r="F5" s="776">
        <v>0</v>
      </c>
      <c r="G5" s="732">
        <v>0</v>
      </c>
      <c r="I5" s="525" t="s">
        <v>28</v>
      </c>
      <c r="J5" s="367">
        <v>0</v>
      </c>
      <c r="K5" s="776">
        <v>0</v>
      </c>
      <c r="L5" s="732">
        <v>0</v>
      </c>
      <c r="N5" s="524"/>
      <c r="Q5" s="520"/>
    </row>
    <row r="6" spans="1:20" s="342" customFormat="1" ht="24.95" customHeight="1" thickTop="1" x14ac:dyDescent="0.3">
      <c r="A6" s="369" t="s">
        <v>7</v>
      </c>
      <c r="B6" s="370">
        <v>0</v>
      </c>
      <c r="C6" s="777">
        <v>0</v>
      </c>
      <c r="D6" s="733">
        <v>0</v>
      </c>
      <c r="E6" s="370">
        <v>0</v>
      </c>
      <c r="F6" s="777">
        <v>0</v>
      </c>
      <c r="G6" s="733">
        <v>0</v>
      </c>
      <c r="I6" s="369" t="s">
        <v>7</v>
      </c>
      <c r="J6" s="370">
        <v>0</v>
      </c>
      <c r="K6" s="777">
        <v>0</v>
      </c>
      <c r="L6" s="733">
        <v>0</v>
      </c>
      <c r="N6" s="379"/>
      <c r="O6" s="339"/>
      <c r="P6" s="339"/>
      <c r="Q6" s="339"/>
    </row>
    <row r="7" spans="1:20" ht="24.95" customHeight="1" x14ac:dyDescent="0.3">
      <c r="A7" s="398" t="s">
        <v>8</v>
      </c>
      <c r="B7" s="372">
        <v>0</v>
      </c>
      <c r="C7" s="726">
        <v>0</v>
      </c>
      <c r="D7" s="734">
        <v>0</v>
      </c>
      <c r="E7" s="372">
        <v>0</v>
      </c>
      <c r="F7" s="778">
        <v>0</v>
      </c>
      <c r="G7" s="734">
        <v>0</v>
      </c>
      <c r="I7" s="398" t="s">
        <v>8</v>
      </c>
      <c r="J7" s="372">
        <v>0</v>
      </c>
      <c r="K7" s="778">
        <v>0</v>
      </c>
      <c r="L7" s="734">
        <v>0</v>
      </c>
      <c r="N7" s="379"/>
    </row>
    <row r="8" spans="1:20" ht="24.95" customHeight="1" x14ac:dyDescent="0.3">
      <c r="A8" s="398" t="s">
        <v>306</v>
      </c>
      <c r="B8" s="372">
        <v>0</v>
      </c>
      <c r="C8" s="726">
        <v>0</v>
      </c>
      <c r="D8" s="734">
        <v>0</v>
      </c>
      <c r="E8" s="372">
        <v>0</v>
      </c>
      <c r="F8" s="778">
        <v>0</v>
      </c>
      <c r="G8" s="734">
        <v>0</v>
      </c>
      <c r="I8" s="398" t="s">
        <v>306</v>
      </c>
      <c r="J8" s="372">
        <v>0</v>
      </c>
      <c r="K8" s="778">
        <v>0</v>
      </c>
      <c r="L8" s="734">
        <v>0</v>
      </c>
      <c r="O8" s="342"/>
      <c r="Q8" s="342"/>
    </row>
    <row r="9" spans="1:20" ht="24.95" customHeight="1" x14ac:dyDescent="0.3">
      <c r="A9" s="372"/>
      <c r="B9" s="372"/>
      <c r="C9" s="778"/>
      <c r="D9" s="734"/>
      <c r="E9" s="372"/>
      <c r="F9" s="778"/>
      <c r="G9" s="734"/>
      <c r="I9" s="372"/>
      <c r="J9" s="372"/>
      <c r="K9" s="778"/>
      <c r="L9" s="734"/>
    </row>
    <row r="10" spans="1:20" s="342" customFormat="1" ht="24.95" customHeight="1" x14ac:dyDescent="0.3">
      <c r="A10" s="526" t="s">
        <v>9</v>
      </c>
      <c r="B10" s="375">
        <v>0</v>
      </c>
      <c r="C10" s="779">
        <v>0</v>
      </c>
      <c r="D10" s="735">
        <v>0</v>
      </c>
      <c r="E10" s="375">
        <v>0</v>
      </c>
      <c r="F10" s="779">
        <v>0</v>
      </c>
      <c r="G10" s="735">
        <v>0</v>
      </c>
      <c r="I10" s="526" t="s">
        <v>9</v>
      </c>
      <c r="J10" s="375">
        <v>0</v>
      </c>
      <c r="K10" s="779">
        <v>0</v>
      </c>
      <c r="L10" s="735">
        <v>0</v>
      </c>
      <c r="N10" s="339"/>
      <c r="O10" s="339"/>
      <c r="P10" s="339"/>
    </row>
    <row r="11" spans="1:20" ht="24.95" customHeight="1" x14ac:dyDescent="0.3">
      <c r="A11" s="372" t="s">
        <v>308</v>
      </c>
      <c r="B11" s="372">
        <v>0</v>
      </c>
      <c r="C11" s="726">
        <v>0</v>
      </c>
      <c r="D11" s="734">
        <v>0</v>
      </c>
      <c r="E11" s="372">
        <v>0</v>
      </c>
      <c r="F11" s="778">
        <v>0</v>
      </c>
      <c r="G11" s="734">
        <v>0</v>
      </c>
      <c r="I11" s="372" t="s">
        <v>308</v>
      </c>
      <c r="J11" s="372">
        <v>0</v>
      </c>
      <c r="K11" s="778">
        <v>0</v>
      </c>
      <c r="L11" s="734">
        <v>0</v>
      </c>
    </row>
    <row r="12" spans="1:20" ht="24.95" customHeight="1" x14ac:dyDescent="0.3">
      <c r="A12" s="372" t="s">
        <v>309</v>
      </c>
      <c r="B12" s="372">
        <v>0</v>
      </c>
      <c r="C12" s="726">
        <v>0</v>
      </c>
      <c r="D12" s="734">
        <v>0</v>
      </c>
      <c r="E12" s="372">
        <v>0</v>
      </c>
      <c r="F12" s="778">
        <v>0</v>
      </c>
      <c r="G12" s="734">
        <v>0</v>
      </c>
      <c r="I12" s="372" t="s">
        <v>309</v>
      </c>
      <c r="J12" s="372">
        <v>0</v>
      </c>
      <c r="K12" s="778">
        <v>0</v>
      </c>
      <c r="L12" s="734">
        <v>0</v>
      </c>
      <c r="N12" s="379"/>
      <c r="O12" s="342"/>
      <c r="P12" s="342"/>
    </row>
    <row r="13" spans="1:20" ht="24.95" customHeight="1" x14ac:dyDescent="0.3">
      <c r="A13" s="372" t="s">
        <v>310</v>
      </c>
      <c r="B13" s="372">
        <v>0</v>
      </c>
      <c r="C13" s="726">
        <v>0</v>
      </c>
      <c r="D13" s="734">
        <v>0</v>
      </c>
      <c r="E13" s="372">
        <v>0</v>
      </c>
      <c r="F13" s="778">
        <v>0</v>
      </c>
      <c r="G13" s="734">
        <v>0</v>
      </c>
      <c r="I13" s="372" t="s">
        <v>310</v>
      </c>
      <c r="J13" s="372">
        <v>0</v>
      </c>
      <c r="K13" s="778">
        <v>0</v>
      </c>
      <c r="L13" s="734">
        <v>0</v>
      </c>
      <c r="N13" s="379"/>
    </row>
    <row r="14" spans="1:20" ht="24.95" customHeight="1" x14ac:dyDescent="0.3">
      <c r="A14" s="372" t="s">
        <v>311</v>
      </c>
      <c r="B14" s="372">
        <v>0</v>
      </c>
      <c r="C14" s="726">
        <v>0</v>
      </c>
      <c r="D14" s="734">
        <v>0</v>
      </c>
      <c r="E14" s="372">
        <v>0</v>
      </c>
      <c r="F14" s="778">
        <v>0</v>
      </c>
      <c r="G14" s="734">
        <v>0</v>
      </c>
      <c r="I14" s="372" t="s">
        <v>311</v>
      </c>
      <c r="J14" s="372">
        <v>0</v>
      </c>
      <c r="K14" s="778">
        <v>0</v>
      </c>
      <c r="L14" s="734">
        <v>0</v>
      </c>
    </row>
    <row r="15" spans="1:20" ht="24.95" customHeight="1" x14ac:dyDescent="0.3">
      <c r="A15" s="372" t="s">
        <v>312</v>
      </c>
      <c r="B15" s="372">
        <v>0</v>
      </c>
      <c r="C15" s="726">
        <v>0</v>
      </c>
      <c r="D15" s="734">
        <v>0</v>
      </c>
      <c r="E15" s="372">
        <v>0</v>
      </c>
      <c r="F15" s="778">
        <v>0</v>
      </c>
      <c r="G15" s="734">
        <v>0</v>
      </c>
      <c r="I15" s="372" t="s">
        <v>312</v>
      </c>
      <c r="J15" s="372">
        <v>0</v>
      </c>
      <c r="K15" s="778">
        <v>0</v>
      </c>
      <c r="L15" s="734">
        <v>0</v>
      </c>
      <c r="N15" s="379"/>
    </row>
    <row r="16" spans="1:20" ht="24.95" customHeight="1" x14ac:dyDescent="0.3">
      <c r="A16" s="372" t="s">
        <v>313</v>
      </c>
      <c r="B16" s="372">
        <v>0</v>
      </c>
      <c r="C16" s="726">
        <v>0</v>
      </c>
      <c r="D16" s="734">
        <v>0</v>
      </c>
      <c r="E16" s="372">
        <v>0</v>
      </c>
      <c r="F16" s="778">
        <v>0</v>
      </c>
      <c r="G16" s="734">
        <v>0</v>
      </c>
      <c r="I16" s="372" t="s">
        <v>313</v>
      </c>
      <c r="J16" s="372">
        <v>0</v>
      </c>
      <c r="K16" s="778">
        <v>0</v>
      </c>
      <c r="L16" s="734">
        <v>0</v>
      </c>
    </row>
    <row r="17" spans="1:12" ht="24.95" customHeight="1" x14ac:dyDescent="0.3">
      <c r="A17" s="372" t="s">
        <v>314</v>
      </c>
      <c r="B17" s="372">
        <v>0</v>
      </c>
      <c r="C17" s="726">
        <v>0</v>
      </c>
      <c r="D17" s="734">
        <v>0</v>
      </c>
      <c r="E17" s="372">
        <v>0</v>
      </c>
      <c r="F17" s="778">
        <v>0</v>
      </c>
      <c r="G17" s="734">
        <v>0</v>
      </c>
      <c r="I17" s="372" t="s">
        <v>314</v>
      </c>
      <c r="J17" s="372">
        <v>0</v>
      </c>
      <c r="K17" s="778">
        <v>0</v>
      </c>
      <c r="L17" s="734">
        <v>0</v>
      </c>
    </row>
    <row r="18" spans="1:12" ht="24.95" customHeight="1" x14ac:dyDescent="0.3">
      <c r="A18" s="372" t="s">
        <v>315</v>
      </c>
      <c r="B18" s="372">
        <v>0</v>
      </c>
      <c r="C18" s="726">
        <v>0</v>
      </c>
      <c r="D18" s="734">
        <v>0</v>
      </c>
      <c r="E18" s="372">
        <v>0</v>
      </c>
      <c r="F18" s="778">
        <v>0</v>
      </c>
      <c r="G18" s="734">
        <v>0</v>
      </c>
      <c r="I18" s="372" t="s">
        <v>315</v>
      </c>
      <c r="J18" s="372">
        <v>0</v>
      </c>
      <c r="K18" s="778">
        <v>0</v>
      </c>
      <c r="L18" s="734">
        <v>0</v>
      </c>
    </row>
    <row r="19" spans="1:12" ht="24.95" customHeight="1" x14ac:dyDescent="0.3">
      <c r="A19" s="372" t="s">
        <v>390</v>
      </c>
      <c r="B19" s="372">
        <v>0</v>
      </c>
      <c r="C19" s="726">
        <v>0</v>
      </c>
      <c r="D19" s="734">
        <v>0</v>
      </c>
      <c r="E19" s="372">
        <v>0</v>
      </c>
      <c r="F19" s="778">
        <v>0</v>
      </c>
      <c r="G19" s="734">
        <v>0</v>
      </c>
      <c r="I19" s="372" t="s">
        <v>390</v>
      </c>
      <c r="J19" s="372">
        <v>0</v>
      </c>
      <c r="K19" s="778">
        <v>0</v>
      </c>
      <c r="L19" s="734">
        <v>0</v>
      </c>
    </row>
    <row r="20" spans="1:12" s="342" customFormat="1" ht="24.95" customHeight="1" x14ac:dyDescent="0.3">
      <c r="A20" s="526" t="s">
        <v>12</v>
      </c>
      <c r="B20" s="375">
        <v>0</v>
      </c>
      <c r="C20" s="779">
        <v>0</v>
      </c>
      <c r="D20" s="735">
        <v>0</v>
      </c>
      <c r="E20" s="375">
        <v>0</v>
      </c>
      <c r="F20" s="779">
        <v>0</v>
      </c>
      <c r="G20" s="735">
        <v>0</v>
      </c>
      <c r="I20" s="526" t="s">
        <v>12</v>
      </c>
      <c r="J20" s="375">
        <v>0</v>
      </c>
      <c r="K20" s="779">
        <v>0</v>
      </c>
      <c r="L20" s="735">
        <v>0</v>
      </c>
    </row>
    <row r="21" spans="1:12" ht="24.95" customHeight="1" x14ac:dyDescent="0.3">
      <c r="A21" s="372" t="s">
        <v>391</v>
      </c>
      <c r="B21" s="372">
        <v>0</v>
      </c>
      <c r="C21" s="726">
        <v>0</v>
      </c>
      <c r="D21" s="734">
        <v>0</v>
      </c>
      <c r="E21" s="372">
        <v>0</v>
      </c>
      <c r="F21" s="778">
        <v>0</v>
      </c>
      <c r="G21" s="734">
        <v>0</v>
      </c>
      <c r="I21" s="372" t="s">
        <v>391</v>
      </c>
      <c r="J21" s="372">
        <v>0</v>
      </c>
      <c r="K21" s="778">
        <v>0</v>
      </c>
      <c r="L21" s="734">
        <v>0</v>
      </c>
    </row>
    <row r="22" spans="1:12" ht="24.95" customHeight="1" x14ac:dyDescent="0.3">
      <c r="A22" s="372" t="s">
        <v>392</v>
      </c>
      <c r="B22" s="372">
        <v>0</v>
      </c>
      <c r="C22" s="726">
        <v>0</v>
      </c>
      <c r="D22" s="734">
        <v>0</v>
      </c>
      <c r="E22" s="372">
        <v>0</v>
      </c>
      <c r="F22" s="778">
        <v>0</v>
      </c>
      <c r="G22" s="734">
        <v>0</v>
      </c>
      <c r="I22" s="372" t="s">
        <v>392</v>
      </c>
      <c r="J22" s="372">
        <v>0</v>
      </c>
      <c r="K22" s="778">
        <v>0</v>
      </c>
      <c r="L22" s="734">
        <v>0</v>
      </c>
    </row>
    <row r="23" spans="1:12" ht="24.95" customHeight="1" x14ac:dyDescent="0.3">
      <c r="A23" s="372" t="s">
        <v>393</v>
      </c>
      <c r="B23" s="372">
        <v>0</v>
      </c>
      <c r="C23" s="726">
        <v>0</v>
      </c>
      <c r="D23" s="734">
        <v>0</v>
      </c>
      <c r="E23" s="372">
        <v>0</v>
      </c>
      <c r="F23" s="778">
        <v>0</v>
      </c>
      <c r="G23" s="734">
        <v>0</v>
      </c>
      <c r="I23" s="372" t="s">
        <v>393</v>
      </c>
      <c r="J23" s="372">
        <v>0</v>
      </c>
      <c r="K23" s="778">
        <v>0</v>
      </c>
      <c r="L23" s="734">
        <v>0</v>
      </c>
    </row>
    <row r="24" spans="1:12" ht="24.95" customHeight="1" x14ac:dyDescent="0.3">
      <c r="A24" s="372" t="s">
        <v>394</v>
      </c>
      <c r="B24" s="372">
        <v>0</v>
      </c>
      <c r="C24" s="726">
        <v>0</v>
      </c>
      <c r="D24" s="734">
        <v>0</v>
      </c>
      <c r="E24" s="372">
        <v>0</v>
      </c>
      <c r="F24" s="778">
        <v>0</v>
      </c>
      <c r="G24" s="734">
        <v>0</v>
      </c>
      <c r="I24" s="372" t="s">
        <v>394</v>
      </c>
      <c r="J24" s="372">
        <v>0</v>
      </c>
      <c r="K24" s="778">
        <v>0</v>
      </c>
      <c r="L24" s="734">
        <v>0</v>
      </c>
    </row>
    <row r="25" spans="1:12" ht="24.95" customHeight="1" x14ac:dyDescent="0.3">
      <c r="A25" s="377"/>
      <c r="B25" s="377"/>
      <c r="C25" s="780"/>
      <c r="D25" s="736"/>
      <c r="E25" s="377"/>
      <c r="F25" s="780"/>
      <c r="G25" s="736"/>
      <c r="I25" s="377"/>
      <c r="J25" s="377"/>
      <c r="K25" s="780"/>
      <c r="L25" s="736"/>
    </row>
    <row r="37" spans="1:7" x14ac:dyDescent="0.3">
      <c r="A37" s="3516" t="s">
        <v>0</v>
      </c>
      <c r="B37" s="3520" t="s">
        <v>1</v>
      </c>
      <c r="C37" s="3520"/>
      <c r="D37" s="3520"/>
      <c r="E37" s="3520" t="s">
        <v>3</v>
      </c>
      <c r="F37" s="3520"/>
      <c r="G37" s="3520"/>
    </row>
    <row r="38" spans="1:7" x14ac:dyDescent="0.3">
      <c r="A38" s="3517"/>
      <c r="B38" s="380" t="s">
        <v>28</v>
      </c>
      <c r="C38" s="775" t="s">
        <v>34</v>
      </c>
      <c r="D38" s="731" t="s">
        <v>62</v>
      </c>
      <c r="E38" s="380" t="s">
        <v>28</v>
      </c>
      <c r="F38" s="775" t="s">
        <v>34</v>
      </c>
      <c r="G38" s="731" t="s">
        <v>62</v>
      </c>
    </row>
    <row r="39" spans="1:7" ht="19.5" thickBot="1" x14ac:dyDescent="0.35">
      <c r="A39" s="525" t="s">
        <v>28</v>
      </c>
      <c r="B39" s="367">
        <v>0</v>
      </c>
      <c r="C39" s="776">
        <v>0</v>
      </c>
      <c r="D39" s="737">
        <v>0</v>
      </c>
      <c r="E39" s="367">
        <v>0</v>
      </c>
      <c r="F39" s="776">
        <v>0</v>
      </c>
      <c r="G39" s="732">
        <v>0</v>
      </c>
    </row>
    <row r="40" spans="1:7" ht="19.5" thickTop="1" x14ac:dyDescent="0.3">
      <c r="A40" s="369" t="s">
        <v>7</v>
      </c>
      <c r="B40" s="370">
        <v>0</v>
      </c>
      <c r="C40" s="777">
        <v>0</v>
      </c>
      <c r="D40" s="733">
        <v>0</v>
      </c>
      <c r="E40" s="370">
        <v>0</v>
      </c>
      <c r="F40" s="777">
        <v>0</v>
      </c>
      <c r="G40" s="733">
        <v>0</v>
      </c>
    </row>
    <row r="41" spans="1:7" x14ac:dyDescent="0.3">
      <c r="A41" s="398" t="s">
        <v>8</v>
      </c>
      <c r="B41" s="372">
        <v>0</v>
      </c>
      <c r="C41" s="778">
        <v>0</v>
      </c>
      <c r="D41" s="734">
        <v>0</v>
      </c>
      <c r="E41" s="372">
        <v>0</v>
      </c>
      <c r="F41" s="778"/>
      <c r="G41" s="734"/>
    </row>
    <row r="42" spans="1:7" x14ac:dyDescent="0.3">
      <c r="A42" s="398" t="s">
        <v>306</v>
      </c>
      <c r="B42" s="372">
        <v>0</v>
      </c>
      <c r="C42" s="778">
        <v>0</v>
      </c>
      <c r="D42" s="734">
        <v>0</v>
      </c>
      <c r="E42" s="372">
        <v>0</v>
      </c>
      <c r="F42" s="778"/>
      <c r="G42" s="734"/>
    </row>
    <row r="43" spans="1:7" x14ac:dyDescent="0.3">
      <c r="A43" s="372"/>
      <c r="B43" s="372"/>
      <c r="C43" s="778"/>
      <c r="D43" s="734"/>
      <c r="E43" s="372"/>
      <c r="F43" s="778"/>
      <c r="G43" s="734"/>
    </row>
    <row r="44" spans="1:7" x14ac:dyDescent="0.3">
      <c r="A44" s="526" t="s">
        <v>9</v>
      </c>
      <c r="B44" s="375">
        <v>0</v>
      </c>
      <c r="C44" s="779">
        <v>0</v>
      </c>
      <c r="D44" s="735">
        <v>0</v>
      </c>
      <c r="E44" s="375">
        <v>0</v>
      </c>
      <c r="F44" s="779">
        <v>0</v>
      </c>
      <c r="G44" s="735">
        <v>0</v>
      </c>
    </row>
    <row r="45" spans="1:7" x14ac:dyDescent="0.3">
      <c r="A45" s="372" t="s">
        <v>308</v>
      </c>
      <c r="B45" s="372">
        <v>0</v>
      </c>
      <c r="C45" s="778">
        <v>0</v>
      </c>
      <c r="D45" s="734">
        <v>0</v>
      </c>
      <c r="E45" s="372">
        <v>0</v>
      </c>
      <c r="F45" s="778"/>
      <c r="G45" s="734"/>
    </row>
    <row r="46" spans="1:7" x14ac:dyDescent="0.3">
      <c r="A46" s="372" t="s">
        <v>309</v>
      </c>
      <c r="B46" s="372">
        <v>0</v>
      </c>
      <c r="C46" s="778">
        <v>0</v>
      </c>
      <c r="D46" s="734">
        <v>0</v>
      </c>
      <c r="E46" s="372">
        <v>0</v>
      </c>
      <c r="F46" s="778"/>
      <c r="G46" s="734"/>
    </row>
    <row r="47" spans="1:7" x14ac:dyDescent="0.3">
      <c r="A47" s="372" t="s">
        <v>310</v>
      </c>
      <c r="B47" s="372">
        <v>0</v>
      </c>
      <c r="C47" s="778">
        <v>0</v>
      </c>
      <c r="D47" s="734">
        <v>0</v>
      </c>
      <c r="E47" s="372">
        <v>0</v>
      </c>
      <c r="F47" s="778"/>
      <c r="G47" s="734"/>
    </row>
    <row r="48" spans="1:7" x14ac:dyDescent="0.3">
      <c r="A48" s="372" t="s">
        <v>311</v>
      </c>
      <c r="B48" s="372">
        <v>0</v>
      </c>
      <c r="C48" s="778">
        <v>0</v>
      </c>
      <c r="D48" s="734">
        <v>0</v>
      </c>
      <c r="E48" s="372">
        <v>0</v>
      </c>
      <c r="F48" s="778"/>
      <c r="G48" s="734"/>
    </row>
    <row r="49" spans="1:7" x14ac:dyDescent="0.3">
      <c r="A49" s="372" t="s">
        <v>312</v>
      </c>
      <c r="B49" s="372">
        <v>0</v>
      </c>
      <c r="C49" s="778">
        <v>0</v>
      </c>
      <c r="D49" s="734">
        <v>0</v>
      </c>
      <c r="E49" s="372">
        <v>0</v>
      </c>
      <c r="F49" s="778"/>
      <c r="G49" s="734"/>
    </row>
    <row r="50" spans="1:7" x14ac:dyDescent="0.3">
      <c r="A50" s="372" t="s">
        <v>313</v>
      </c>
      <c r="B50" s="372">
        <v>0</v>
      </c>
      <c r="C50" s="778">
        <v>0</v>
      </c>
      <c r="D50" s="734">
        <v>0</v>
      </c>
      <c r="E50" s="372">
        <v>0</v>
      </c>
      <c r="F50" s="778"/>
      <c r="G50" s="734"/>
    </row>
    <row r="51" spans="1:7" x14ac:dyDescent="0.3">
      <c r="A51" s="372" t="s">
        <v>314</v>
      </c>
      <c r="B51" s="372">
        <v>0</v>
      </c>
      <c r="C51" s="778">
        <v>0</v>
      </c>
      <c r="D51" s="734">
        <v>0</v>
      </c>
      <c r="E51" s="372">
        <v>0</v>
      </c>
      <c r="F51" s="778"/>
      <c r="G51" s="734"/>
    </row>
    <row r="52" spans="1:7" x14ac:dyDescent="0.3">
      <c r="A52" s="372" t="s">
        <v>315</v>
      </c>
      <c r="B52" s="372">
        <v>0</v>
      </c>
      <c r="C52" s="778">
        <v>0</v>
      </c>
      <c r="D52" s="734">
        <v>0</v>
      </c>
      <c r="E52" s="372">
        <v>0</v>
      </c>
      <c r="F52" s="778"/>
      <c r="G52" s="734"/>
    </row>
    <row r="53" spans="1:7" x14ac:dyDescent="0.3">
      <c r="A53" s="372" t="s">
        <v>390</v>
      </c>
      <c r="B53" s="372">
        <v>0</v>
      </c>
      <c r="C53" s="778">
        <v>0</v>
      </c>
      <c r="D53" s="734">
        <v>0</v>
      </c>
      <c r="E53" s="372"/>
      <c r="F53" s="778"/>
      <c r="G53" s="734"/>
    </row>
    <row r="54" spans="1:7" x14ac:dyDescent="0.3">
      <c r="A54" s="526" t="s">
        <v>12</v>
      </c>
      <c r="B54" s="375">
        <v>0</v>
      </c>
      <c r="C54" s="779">
        <v>0</v>
      </c>
      <c r="D54" s="735">
        <v>0</v>
      </c>
      <c r="E54" s="375">
        <v>0</v>
      </c>
      <c r="F54" s="779">
        <v>0</v>
      </c>
      <c r="G54" s="735">
        <v>0</v>
      </c>
    </row>
    <row r="55" spans="1:7" x14ac:dyDescent="0.3">
      <c r="A55" s="372" t="s">
        <v>391</v>
      </c>
      <c r="B55" s="372">
        <v>0</v>
      </c>
      <c r="C55" s="778">
        <v>0</v>
      </c>
      <c r="D55" s="734">
        <v>0</v>
      </c>
      <c r="E55" s="372">
        <v>0</v>
      </c>
      <c r="F55" s="778"/>
      <c r="G55" s="734"/>
    </row>
    <row r="56" spans="1:7" x14ac:dyDescent="0.3">
      <c r="A56" s="372" t="s">
        <v>392</v>
      </c>
      <c r="B56" s="372">
        <v>0</v>
      </c>
      <c r="C56" s="778">
        <v>0</v>
      </c>
      <c r="D56" s="734">
        <v>0</v>
      </c>
      <c r="E56" s="372">
        <v>0</v>
      </c>
      <c r="F56" s="778"/>
      <c r="G56" s="734"/>
    </row>
    <row r="57" spans="1:7" x14ac:dyDescent="0.3">
      <c r="A57" s="372" t="s">
        <v>393</v>
      </c>
      <c r="B57" s="372">
        <v>0</v>
      </c>
      <c r="C57" s="778">
        <v>0</v>
      </c>
      <c r="D57" s="734">
        <v>0</v>
      </c>
      <c r="E57" s="372">
        <v>0</v>
      </c>
      <c r="F57" s="778"/>
      <c r="G57" s="734"/>
    </row>
    <row r="58" spans="1:7" x14ac:dyDescent="0.3">
      <c r="A58" s="372" t="s">
        <v>394</v>
      </c>
      <c r="B58" s="372">
        <v>0</v>
      </c>
      <c r="C58" s="778">
        <v>0</v>
      </c>
      <c r="D58" s="734">
        <v>0</v>
      </c>
      <c r="E58" s="372">
        <v>0</v>
      </c>
      <c r="F58" s="778"/>
      <c r="G58" s="734"/>
    </row>
    <row r="59" spans="1:7" x14ac:dyDescent="0.3">
      <c r="A59" s="377"/>
      <c r="B59" s="377"/>
      <c r="C59" s="780"/>
      <c r="D59" s="736"/>
      <c r="E59" s="377"/>
      <c r="F59" s="780"/>
      <c r="G59" s="736"/>
    </row>
    <row r="74" spans="1:7" x14ac:dyDescent="0.3">
      <c r="A74" s="3516" t="s">
        <v>0</v>
      </c>
      <c r="B74" s="3520" t="s">
        <v>24</v>
      </c>
      <c r="C74" s="3520"/>
      <c r="D74" s="3520"/>
      <c r="E74" s="3520" t="s">
        <v>23</v>
      </c>
      <c r="F74" s="3520"/>
      <c r="G74" s="3520"/>
    </row>
    <row r="75" spans="1:7" x14ac:dyDescent="0.3">
      <c r="A75" s="3517"/>
      <c r="B75" s="380" t="s">
        <v>28</v>
      </c>
      <c r="C75" s="775" t="s">
        <v>34</v>
      </c>
      <c r="D75" s="731" t="s">
        <v>62</v>
      </c>
      <c r="E75" s="380" t="s">
        <v>28</v>
      </c>
      <c r="F75" s="775" t="s">
        <v>34</v>
      </c>
      <c r="G75" s="731" t="s">
        <v>62</v>
      </c>
    </row>
    <row r="76" spans="1:7" ht="19.5" thickBot="1" x14ac:dyDescent="0.35">
      <c r="A76" s="525" t="s">
        <v>28</v>
      </c>
      <c r="B76" s="367">
        <v>0</v>
      </c>
      <c r="C76" s="776">
        <v>0</v>
      </c>
      <c r="D76" s="732">
        <v>0</v>
      </c>
      <c r="E76" s="367">
        <v>0</v>
      </c>
      <c r="F76" s="776">
        <v>0</v>
      </c>
      <c r="G76" s="732">
        <v>0</v>
      </c>
    </row>
    <row r="77" spans="1:7" ht="19.5" thickTop="1" x14ac:dyDescent="0.3">
      <c r="A77" s="369" t="s">
        <v>7</v>
      </c>
      <c r="B77" s="370">
        <v>0</v>
      </c>
      <c r="C77" s="777">
        <v>0</v>
      </c>
      <c r="D77" s="733">
        <v>0</v>
      </c>
      <c r="E77" s="370">
        <v>0</v>
      </c>
      <c r="F77" s="777">
        <v>0</v>
      </c>
      <c r="G77" s="733">
        <v>0</v>
      </c>
    </row>
    <row r="78" spans="1:7" x14ac:dyDescent="0.3">
      <c r="A78" s="398" t="s">
        <v>8</v>
      </c>
      <c r="B78" s="372">
        <v>0</v>
      </c>
      <c r="C78" s="778"/>
      <c r="D78" s="734"/>
      <c r="E78" s="372">
        <v>0</v>
      </c>
      <c r="F78" s="778">
        <v>0</v>
      </c>
      <c r="G78" s="734">
        <v>0</v>
      </c>
    </row>
    <row r="79" spans="1:7" x14ac:dyDescent="0.3">
      <c r="A79" s="398" t="s">
        <v>306</v>
      </c>
      <c r="B79" s="372">
        <v>0</v>
      </c>
      <c r="C79" s="778"/>
      <c r="D79" s="734"/>
      <c r="E79" s="372">
        <v>0</v>
      </c>
      <c r="F79" s="778">
        <v>0</v>
      </c>
      <c r="G79" s="734">
        <v>0</v>
      </c>
    </row>
    <row r="80" spans="1:7" x14ac:dyDescent="0.3">
      <c r="A80" s="372"/>
      <c r="B80" s="372"/>
      <c r="C80" s="778"/>
      <c r="D80" s="734"/>
      <c r="E80" s="372"/>
      <c r="F80" s="778"/>
      <c r="G80" s="734"/>
    </row>
    <row r="81" spans="1:7" x14ac:dyDescent="0.3">
      <c r="A81" s="526" t="s">
        <v>9</v>
      </c>
      <c r="B81" s="375">
        <v>0</v>
      </c>
      <c r="C81" s="779">
        <v>0</v>
      </c>
      <c r="D81" s="735">
        <v>0</v>
      </c>
      <c r="E81" s="375">
        <v>0</v>
      </c>
      <c r="F81" s="779">
        <v>0</v>
      </c>
      <c r="G81" s="735">
        <v>0</v>
      </c>
    </row>
    <row r="82" spans="1:7" x14ac:dyDescent="0.3">
      <c r="A82" s="372" t="s">
        <v>308</v>
      </c>
      <c r="B82" s="372">
        <v>0</v>
      </c>
      <c r="C82" s="778"/>
      <c r="D82" s="734"/>
      <c r="E82" s="372">
        <v>0</v>
      </c>
      <c r="F82" s="778">
        <v>0</v>
      </c>
      <c r="G82" s="734">
        <v>0</v>
      </c>
    </row>
    <row r="83" spans="1:7" x14ac:dyDescent="0.3">
      <c r="A83" s="372" t="s">
        <v>309</v>
      </c>
      <c r="B83" s="372">
        <v>0</v>
      </c>
      <c r="C83" s="778"/>
      <c r="D83" s="734"/>
      <c r="E83" s="372">
        <v>0</v>
      </c>
      <c r="F83" s="778">
        <v>0</v>
      </c>
      <c r="G83" s="734">
        <v>0</v>
      </c>
    </row>
    <row r="84" spans="1:7" x14ac:dyDescent="0.3">
      <c r="A84" s="372" t="s">
        <v>310</v>
      </c>
      <c r="B84" s="372">
        <v>0</v>
      </c>
      <c r="C84" s="778"/>
      <c r="D84" s="734"/>
      <c r="E84" s="372">
        <v>0</v>
      </c>
      <c r="F84" s="778">
        <v>0</v>
      </c>
      <c r="G84" s="734">
        <v>0</v>
      </c>
    </row>
    <row r="85" spans="1:7" x14ac:dyDescent="0.3">
      <c r="A85" s="372" t="s">
        <v>311</v>
      </c>
      <c r="B85" s="372">
        <v>0</v>
      </c>
      <c r="C85" s="778"/>
      <c r="D85" s="734"/>
      <c r="E85" s="372">
        <v>0</v>
      </c>
      <c r="F85" s="778">
        <v>0</v>
      </c>
      <c r="G85" s="734">
        <v>0</v>
      </c>
    </row>
    <row r="86" spans="1:7" x14ac:dyDescent="0.3">
      <c r="A86" s="372" t="s">
        <v>312</v>
      </c>
      <c r="B86" s="372">
        <v>0</v>
      </c>
      <c r="C86" s="778"/>
      <c r="D86" s="734"/>
      <c r="E86" s="372">
        <v>0</v>
      </c>
      <c r="F86" s="778">
        <v>0</v>
      </c>
      <c r="G86" s="734">
        <v>0</v>
      </c>
    </row>
    <row r="87" spans="1:7" x14ac:dyDescent="0.3">
      <c r="A87" s="372" t="s">
        <v>313</v>
      </c>
      <c r="B87" s="372">
        <v>0</v>
      </c>
      <c r="C87" s="778"/>
      <c r="D87" s="734"/>
      <c r="E87" s="372">
        <v>0</v>
      </c>
      <c r="F87" s="778">
        <v>0</v>
      </c>
      <c r="G87" s="734">
        <v>0</v>
      </c>
    </row>
    <row r="88" spans="1:7" x14ac:dyDescent="0.3">
      <c r="A88" s="372" t="s">
        <v>314</v>
      </c>
      <c r="B88" s="372"/>
      <c r="C88" s="778"/>
      <c r="D88" s="734"/>
      <c r="E88" s="372"/>
      <c r="F88" s="778">
        <v>0</v>
      </c>
      <c r="G88" s="734">
        <v>0</v>
      </c>
    </row>
    <row r="89" spans="1:7" x14ac:dyDescent="0.3">
      <c r="A89" s="372" t="s">
        <v>315</v>
      </c>
      <c r="B89" s="372"/>
      <c r="C89" s="778"/>
      <c r="D89" s="734"/>
      <c r="E89" s="372"/>
      <c r="F89" s="778">
        <v>0</v>
      </c>
      <c r="G89" s="734">
        <v>0</v>
      </c>
    </row>
    <row r="90" spans="1:7" x14ac:dyDescent="0.3">
      <c r="A90" s="372"/>
      <c r="B90" s="372"/>
      <c r="C90" s="778"/>
      <c r="D90" s="734"/>
      <c r="E90" s="372"/>
      <c r="F90" s="778"/>
      <c r="G90" s="734"/>
    </row>
    <row r="91" spans="1:7" x14ac:dyDescent="0.3">
      <c r="A91" s="526" t="s">
        <v>12</v>
      </c>
      <c r="B91" s="375">
        <v>0</v>
      </c>
      <c r="C91" s="779">
        <v>0</v>
      </c>
      <c r="D91" s="735">
        <v>0</v>
      </c>
      <c r="E91" s="375">
        <v>0</v>
      </c>
      <c r="F91" s="779">
        <v>0</v>
      </c>
      <c r="G91" s="735">
        <v>0</v>
      </c>
    </row>
    <row r="92" spans="1:7" x14ac:dyDescent="0.3">
      <c r="A92" s="372" t="s">
        <v>316</v>
      </c>
      <c r="B92" s="372">
        <v>0</v>
      </c>
      <c r="C92" s="778"/>
      <c r="D92" s="734"/>
      <c r="E92" s="372">
        <v>0</v>
      </c>
      <c r="F92" s="778">
        <v>0</v>
      </c>
      <c r="G92" s="734">
        <v>0</v>
      </c>
    </row>
    <row r="93" spans="1:7" x14ac:dyDescent="0.3">
      <c r="A93" s="372" t="s">
        <v>317</v>
      </c>
      <c r="B93" s="372">
        <v>0</v>
      </c>
      <c r="C93" s="778"/>
      <c r="D93" s="734"/>
      <c r="E93" s="372">
        <v>0</v>
      </c>
      <c r="F93" s="778">
        <v>0</v>
      </c>
      <c r="G93" s="734">
        <v>0</v>
      </c>
    </row>
    <row r="94" spans="1:7" x14ac:dyDescent="0.3">
      <c r="A94" s="372" t="s">
        <v>318</v>
      </c>
      <c r="B94" s="372">
        <v>0</v>
      </c>
      <c r="C94" s="778"/>
      <c r="D94" s="734"/>
      <c r="E94" s="372">
        <v>0</v>
      </c>
      <c r="F94" s="778">
        <v>0</v>
      </c>
      <c r="G94" s="734">
        <v>0</v>
      </c>
    </row>
    <row r="95" spans="1:7" x14ac:dyDescent="0.3">
      <c r="A95" s="372" t="s">
        <v>319</v>
      </c>
      <c r="B95" s="372">
        <v>0</v>
      </c>
      <c r="C95" s="778"/>
      <c r="D95" s="734"/>
      <c r="E95" s="372">
        <v>0</v>
      </c>
      <c r="F95" s="778">
        <v>0</v>
      </c>
      <c r="G95" s="734">
        <v>0</v>
      </c>
    </row>
    <row r="96" spans="1:7" x14ac:dyDescent="0.3">
      <c r="A96" s="377"/>
      <c r="B96" s="377"/>
      <c r="C96" s="780"/>
      <c r="D96" s="736"/>
      <c r="E96" s="377"/>
      <c r="F96" s="780"/>
      <c r="G96" s="736"/>
    </row>
    <row r="111" spans="1:7" x14ac:dyDescent="0.3">
      <c r="A111" s="3516" t="s">
        <v>0</v>
      </c>
      <c r="B111" s="3520" t="s">
        <v>4</v>
      </c>
      <c r="C111" s="3520"/>
      <c r="D111" s="3520"/>
      <c r="E111" s="3520" t="s">
        <v>20</v>
      </c>
      <c r="F111" s="3520"/>
      <c r="G111" s="3520"/>
    </row>
    <row r="112" spans="1:7" x14ac:dyDescent="0.3">
      <c r="A112" s="3517"/>
      <c r="B112" s="380" t="s">
        <v>28</v>
      </c>
      <c r="C112" s="775" t="s">
        <v>34</v>
      </c>
      <c r="D112" s="731" t="s">
        <v>62</v>
      </c>
      <c r="E112" s="380" t="s">
        <v>28</v>
      </c>
      <c r="F112" s="775" t="s">
        <v>34</v>
      </c>
      <c r="G112" s="731" t="s">
        <v>62</v>
      </c>
    </row>
    <row r="113" spans="1:7" ht="19.5" thickBot="1" x14ac:dyDescent="0.35">
      <c r="A113" s="525" t="s">
        <v>28</v>
      </c>
      <c r="B113" s="367">
        <v>0</v>
      </c>
      <c r="C113" s="776">
        <v>0</v>
      </c>
      <c r="D113" s="732">
        <v>0</v>
      </c>
      <c r="E113" s="367">
        <v>0</v>
      </c>
      <c r="F113" s="776">
        <v>0</v>
      </c>
      <c r="G113" s="732">
        <v>0</v>
      </c>
    </row>
    <row r="114" spans="1:7" ht="19.5" thickTop="1" x14ac:dyDescent="0.3">
      <c r="A114" s="369" t="s">
        <v>7</v>
      </c>
      <c r="B114" s="370">
        <v>0</v>
      </c>
      <c r="C114" s="777">
        <v>0</v>
      </c>
      <c r="D114" s="733">
        <v>0</v>
      </c>
      <c r="E114" s="370">
        <v>0</v>
      </c>
      <c r="F114" s="777">
        <v>0</v>
      </c>
      <c r="G114" s="733">
        <v>0</v>
      </c>
    </row>
    <row r="115" spans="1:7" x14ac:dyDescent="0.3">
      <c r="A115" s="398" t="s">
        <v>8</v>
      </c>
      <c r="B115" s="372">
        <v>0</v>
      </c>
      <c r="C115" s="778">
        <v>0</v>
      </c>
      <c r="D115" s="734">
        <v>0</v>
      </c>
      <c r="E115" s="372">
        <v>0</v>
      </c>
      <c r="F115" s="778">
        <v>0</v>
      </c>
      <c r="G115" s="734">
        <v>0</v>
      </c>
    </row>
    <row r="116" spans="1:7" x14ac:dyDescent="0.3">
      <c r="A116" s="398" t="s">
        <v>306</v>
      </c>
      <c r="B116" s="372">
        <v>0</v>
      </c>
      <c r="C116" s="778">
        <v>0</v>
      </c>
      <c r="D116" s="734">
        <v>0</v>
      </c>
      <c r="E116" s="372">
        <v>0</v>
      </c>
      <c r="F116" s="778">
        <v>0</v>
      </c>
      <c r="G116" s="734">
        <v>0</v>
      </c>
    </row>
    <row r="117" spans="1:7" x14ac:dyDescent="0.3">
      <c r="A117" s="372"/>
      <c r="B117" s="372"/>
      <c r="C117" s="778"/>
      <c r="D117" s="734"/>
      <c r="E117" s="372"/>
      <c r="F117" s="778"/>
      <c r="G117" s="734"/>
    </row>
    <row r="118" spans="1:7" x14ac:dyDescent="0.3">
      <c r="A118" s="526" t="s">
        <v>9</v>
      </c>
      <c r="B118" s="375">
        <v>0</v>
      </c>
      <c r="C118" s="779">
        <v>0</v>
      </c>
      <c r="D118" s="735">
        <v>0</v>
      </c>
      <c r="E118" s="375">
        <v>0</v>
      </c>
      <c r="F118" s="779">
        <v>0</v>
      </c>
      <c r="G118" s="735">
        <v>0</v>
      </c>
    </row>
    <row r="119" spans="1:7" x14ac:dyDescent="0.3">
      <c r="A119" s="372" t="s">
        <v>308</v>
      </c>
      <c r="B119" s="372">
        <v>0</v>
      </c>
      <c r="C119" s="778">
        <v>0</v>
      </c>
      <c r="D119" s="734">
        <v>0</v>
      </c>
      <c r="E119" s="372">
        <v>0</v>
      </c>
      <c r="F119" s="778">
        <v>0</v>
      </c>
      <c r="G119" s="734">
        <v>0</v>
      </c>
    </row>
    <row r="120" spans="1:7" x14ac:dyDescent="0.3">
      <c r="A120" s="372" t="s">
        <v>309</v>
      </c>
      <c r="B120" s="372">
        <v>0</v>
      </c>
      <c r="C120" s="778">
        <v>0</v>
      </c>
      <c r="D120" s="734">
        <v>0</v>
      </c>
      <c r="E120" s="372">
        <v>0</v>
      </c>
      <c r="F120" s="778">
        <v>0</v>
      </c>
      <c r="G120" s="734">
        <v>0</v>
      </c>
    </row>
    <row r="121" spans="1:7" x14ac:dyDescent="0.3">
      <c r="A121" s="372" t="s">
        <v>310</v>
      </c>
      <c r="B121" s="372">
        <v>0</v>
      </c>
      <c r="C121" s="778">
        <v>0</v>
      </c>
      <c r="D121" s="734">
        <v>0</v>
      </c>
      <c r="E121" s="372">
        <v>0</v>
      </c>
      <c r="F121" s="778">
        <v>0</v>
      </c>
      <c r="G121" s="734">
        <v>0</v>
      </c>
    </row>
    <row r="122" spans="1:7" x14ac:dyDescent="0.3">
      <c r="A122" s="372" t="s">
        <v>311</v>
      </c>
      <c r="B122" s="372">
        <v>0</v>
      </c>
      <c r="C122" s="778">
        <v>0</v>
      </c>
      <c r="D122" s="734">
        <v>0</v>
      </c>
      <c r="E122" s="372">
        <v>0</v>
      </c>
      <c r="F122" s="778">
        <v>0</v>
      </c>
      <c r="G122" s="734">
        <v>0</v>
      </c>
    </row>
    <row r="123" spans="1:7" x14ac:dyDescent="0.3">
      <c r="A123" s="372" t="s">
        <v>312</v>
      </c>
      <c r="B123" s="372">
        <v>0</v>
      </c>
      <c r="C123" s="778">
        <v>0</v>
      </c>
      <c r="D123" s="734">
        <v>0</v>
      </c>
      <c r="E123" s="372">
        <v>0</v>
      </c>
      <c r="F123" s="778">
        <v>0</v>
      </c>
      <c r="G123" s="734">
        <v>0</v>
      </c>
    </row>
    <row r="124" spans="1:7" x14ac:dyDescent="0.3">
      <c r="A124" s="372" t="s">
        <v>313</v>
      </c>
      <c r="B124" s="372">
        <v>0</v>
      </c>
      <c r="C124" s="778">
        <v>0</v>
      </c>
      <c r="D124" s="734">
        <v>0</v>
      </c>
      <c r="E124" s="372">
        <v>0</v>
      </c>
      <c r="F124" s="778">
        <v>0</v>
      </c>
      <c r="G124" s="734">
        <v>0</v>
      </c>
    </row>
    <row r="125" spans="1:7" x14ac:dyDescent="0.3">
      <c r="A125" s="372" t="s">
        <v>314</v>
      </c>
      <c r="B125" s="372">
        <v>0</v>
      </c>
      <c r="C125" s="778">
        <v>0</v>
      </c>
      <c r="D125" s="734">
        <v>0</v>
      </c>
      <c r="E125" s="372">
        <v>0</v>
      </c>
      <c r="F125" s="778">
        <v>0</v>
      </c>
      <c r="G125" s="734">
        <v>0</v>
      </c>
    </row>
    <row r="126" spans="1:7" x14ac:dyDescent="0.3">
      <c r="A126" s="372" t="s">
        <v>315</v>
      </c>
      <c r="B126" s="372">
        <v>0</v>
      </c>
      <c r="C126" s="778">
        <v>0</v>
      </c>
      <c r="D126" s="734">
        <v>0</v>
      </c>
      <c r="E126" s="372">
        <v>0</v>
      </c>
      <c r="F126" s="778">
        <v>0</v>
      </c>
      <c r="G126" s="734">
        <v>0</v>
      </c>
    </row>
    <row r="127" spans="1:7" x14ac:dyDescent="0.3">
      <c r="A127" s="372" t="s">
        <v>390</v>
      </c>
      <c r="B127" s="372">
        <v>0</v>
      </c>
      <c r="C127" s="778">
        <v>0</v>
      </c>
      <c r="D127" s="734">
        <v>0</v>
      </c>
      <c r="E127" s="372"/>
      <c r="F127" s="778">
        <v>0</v>
      </c>
      <c r="G127" s="734">
        <v>0</v>
      </c>
    </row>
    <row r="128" spans="1:7" x14ac:dyDescent="0.3">
      <c r="A128" s="526" t="s">
        <v>12</v>
      </c>
      <c r="B128" s="375">
        <v>0</v>
      </c>
      <c r="C128" s="779">
        <v>0</v>
      </c>
      <c r="D128" s="735">
        <v>0</v>
      </c>
      <c r="E128" s="375">
        <v>0</v>
      </c>
      <c r="F128" s="779">
        <v>0</v>
      </c>
      <c r="G128" s="735">
        <v>0</v>
      </c>
    </row>
    <row r="129" spans="1:7" x14ac:dyDescent="0.3">
      <c r="A129" s="372" t="s">
        <v>391</v>
      </c>
      <c r="B129" s="372">
        <v>0</v>
      </c>
      <c r="C129" s="778">
        <v>0</v>
      </c>
      <c r="D129" s="734">
        <v>0</v>
      </c>
      <c r="E129" s="372">
        <v>0</v>
      </c>
      <c r="F129" s="778">
        <v>0</v>
      </c>
      <c r="G129" s="734">
        <v>0</v>
      </c>
    </row>
    <row r="130" spans="1:7" x14ac:dyDescent="0.3">
      <c r="A130" s="372" t="s">
        <v>392</v>
      </c>
      <c r="B130" s="372">
        <v>0</v>
      </c>
      <c r="C130" s="778">
        <v>0</v>
      </c>
      <c r="D130" s="734">
        <v>0</v>
      </c>
      <c r="E130" s="372">
        <v>0</v>
      </c>
      <c r="F130" s="778">
        <v>0</v>
      </c>
      <c r="G130" s="734">
        <v>0</v>
      </c>
    </row>
    <row r="131" spans="1:7" x14ac:dyDescent="0.3">
      <c r="A131" s="372" t="s">
        <v>393</v>
      </c>
      <c r="B131" s="372">
        <v>0</v>
      </c>
      <c r="C131" s="778">
        <v>0</v>
      </c>
      <c r="D131" s="734">
        <v>0</v>
      </c>
      <c r="E131" s="372">
        <v>0</v>
      </c>
      <c r="F131" s="778">
        <v>0</v>
      </c>
      <c r="G131" s="734">
        <v>0</v>
      </c>
    </row>
    <row r="132" spans="1:7" x14ac:dyDescent="0.3">
      <c r="A132" s="372" t="s">
        <v>394</v>
      </c>
      <c r="B132" s="372">
        <v>0</v>
      </c>
      <c r="C132" s="778">
        <v>0</v>
      </c>
      <c r="D132" s="734">
        <v>0</v>
      </c>
      <c r="E132" s="372">
        <v>0</v>
      </c>
      <c r="F132" s="778">
        <v>0</v>
      </c>
      <c r="G132" s="734">
        <v>0</v>
      </c>
    </row>
    <row r="133" spans="1:7" x14ac:dyDescent="0.3">
      <c r="A133" s="377"/>
      <c r="B133" s="377"/>
      <c r="C133" s="780"/>
      <c r="D133" s="736"/>
      <c r="E133" s="377"/>
      <c r="F133" s="780"/>
      <c r="G133" s="736"/>
    </row>
    <row r="148" spans="1:7" x14ac:dyDescent="0.3">
      <c r="A148" s="3516" t="s">
        <v>0</v>
      </c>
      <c r="B148" s="3520" t="s">
        <v>5</v>
      </c>
      <c r="C148" s="3520"/>
      <c r="D148" s="3520"/>
      <c r="E148" s="3520" t="s">
        <v>21</v>
      </c>
      <c r="F148" s="3520"/>
      <c r="G148" s="3520"/>
    </row>
    <row r="149" spans="1:7" x14ac:dyDescent="0.3">
      <c r="A149" s="3517"/>
      <c r="B149" s="380" t="s">
        <v>28</v>
      </c>
      <c r="C149" s="775" t="s">
        <v>34</v>
      </c>
      <c r="D149" s="731" t="s">
        <v>62</v>
      </c>
      <c r="E149" s="380" t="s">
        <v>28</v>
      </c>
      <c r="F149" s="775" t="s">
        <v>34</v>
      </c>
      <c r="G149" s="731" t="s">
        <v>62</v>
      </c>
    </row>
    <row r="150" spans="1:7" ht="19.5" thickBot="1" x14ac:dyDescent="0.35">
      <c r="A150" s="525" t="s">
        <v>28</v>
      </c>
      <c r="B150" s="367">
        <v>0</v>
      </c>
      <c r="C150" s="776">
        <v>0</v>
      </c>
      <c r="D150" s="732">
        <v>0</v>
      </c>
      <c r="E150" s="367">
        <v>0</v>
      </c>
      <c r="F150" s="776">
        <v>0</v>
      </c>
      <c r="G150" s="732">
        <v>0</v>
      </c>
    </row>
    <row r="151" spans="1:7" ht="19.5" thickTop="1" x14ac:dyDescent="0.3">
      <c r="A151" s="369" t="s">
        <v>7</v>
      </c>
      <c r="B151" s="370">
        <v>0</v>
      </c>
      <c r="C151" s="777">
        <v>0</v>
      </c>
      <c r="D151" s="733">
        <v>0</v>
      </c>
      <c r="E151" s="370">
        <v>0</v>
      </c>
      <c r="F151" s="777">
        <v>0</v>
      </c>
      <c r="G151" s="733">
        <v>0</v>
      </c>
    </row>
    <row r="152" spans="1:7" x14ac:dyDescent="0.3">
      <c r="A152" s="398" t="s">
        <v>8</v>
      </c>
      <c r="B152" s="372">
        <v>0</v>
      </c>
      <c r="C152" s="778"/>
      <c r="D152" s="734"/>
      <c r="E152" s="372">
        <v>0</v>
      </c>
      <c r="F152" s="778">
        <v>0</v>
      </c>
      <c r="G152" s="734">
        <v>0</v>
      </c>
    </row>
    <row r="153" spans="1:7" x14ac:dyDescent="0.3">
      <c r="A153" s="398" t="s">
        <v>306</v>
      </c>
      <c r="B153" s="372">
        <v>0</v>
      </c>
      <c r="C153" s="778"/>
      <c r="D153" s="734"/>
      <c r="E153" s="372">
        <v>0</v>
      </c>
      <c r="F153" s="778">
        <v>0</v>
      </c>
      <c r="G153" s="734">
        <v>0</v>
      </c>
    </row>
    <row r="154" spans="1:7" x14ac:dyDescent="0.3">
      <c r="A154" s="372"/>
      <c r="B154" s="372"/>
      <c r="C154" s="778"/>
      <c r="D154" s="734"/>
      <c r="E154" s="372"/>
      <c r="F154" s="778"/>
      <c r="G154" s="734"/>
    </row>
    <row r="155" spans="1:7" x14ac:dyDescent="0.3">
      <c r="A155" s="526" t="s">
        <v>9</v>
      </c>
      <c r="B155" s="375">
        <v>0</v>
      </c>
      <c r="C155" s="779">
        <v>0</v>
      </c>
      <c r="D155" s="735">
        <v>0</v>
      </c>
      <c r="E155" s="375">
        <v>0</v>
      </c>
      <c r="F155" s="779">
        <v>0</v>
      </c>
      <c r="G155" s="735">
        <v>0</v>
      </c>
    </row>
    <row r="156" spans="1:7" x14ac:dyDescent="0.3">
      <c r="A156" s="372" t="s">
        <v>308</v>
      </c>
      <c r="B156" s="372">
        <v>0</v>
      </c>
      <c r="C156" s="778"/>
      <c r="D156" s="734"/>
      <c r="E156" s="372">
        <v>0</v>
      </c>
      <c r="F156" s="778">
        <v>0</v>
      </c>
      <c r="G156" s="734">
        <v>0</v>
      </c>
    </row>
    <row r="157" spans="1:7" x14ac:dyDescent="0.3">
      <c r="A157" s="372" t="s">
        <v>309</v>
      </c>
      <c r="B157" s="372">
        <v>0</v>
      </c>
      <c r="C157" s="778"/>
      <c r="D157" s="734"/>
      <c r="E157" s="372">
        <v>0</v>
      </c>
      <c r="F157" s="778">
        <v>0</v>
      </c>
      <c r="G157" s="734">
        <v>0</v>
      </c>
    </row>
    <row r="158" spans="1:7" x14ac:dyDescent="0.3">
      <c r="A158" s="372" t="s">
        <v>310</v>
      </c>
      <c r="B158" s="372">
        <v>0</v>
      </c>
      <c r="C158" s="778"/>
      <c r="D158" s="734"/>
      <c r="E158" s="372">
        <v>0</v>
      </c>
      <c r="F158" s="778">
        <v>0</v>
      </c>
      <c r="G158" s="734">
        <v>0</v>
      </c>
    </row>
    <row r="159" spans="1:7" x14ac:dyDescent="0.3">
      <c r="A159" s="372" t="s">
        <v>311</v>
      </c>
      <c r="B159" s="372">
        <v>0</v>
      </c>
      <c r="C159" s="778"/>
      <c r="D159" s="734"/>
      <c r="E159" s="372">
        <v>0</v>
      </c>
      <c r="F159" s="778">
        <v>0</v>
      </c>
      <c r="G159" s="734">
        <v>0</v>
      </c>
    </row>
    <row r="160" spans="1:7" x14ac:dyDescent="0.3">
      <c r="A160" s="372" t="s">
        <v>312</v>
      </c>
      <c r="B160" s="372">
        <v>0</v>
      </c>
      <c r="C160" s="778"/>
      <c r="D160" s="734"/>
      <c r="E160" s="372">
        <v>0</v>
      </c>
      <c r="F160" s="778">
        <v>0</v>
      </c>
      <c r="G160" s="734">
        <v>0</v>
      </c>
    </row>
    <row r="161" spans="1:7" x14ac:dyDescent="0.3">
      <c r="A161" s="372" t="s">
        <v>313</v>
      </c>
      <c r="B161" s="372">
        <v>0</v>
      </c>
      <c r="C161" s="778"/>
      <c r="D161" s="734"/>
      <c r="E161" s="372">
        <v>0</v>
      </c>
      <c r="F161" s="778">
        <v>0</v>
      </c>
      <c r="G161" s="734">
        <v>0</v>
      </c>
    </row>
    <row r="162" spans="1:7" x14ac:dyDescent="0.3">
      <c r="A162" s="372" t="s">
        <v>314</v>
      </c>
      <c r="B162" s="372"/>
      <c r="C162" s="778"/>
      <c r="D162" s="734"/>
      <c r="E162" s="372">
        <v>0</v>
      </c>
      <c r="F162" s="778">
        <v>0</v>
      </c>
      <c r="G162" s="734">
        <v>0</v>
      </c>
    </row>
    <row r="163" spans="1:7" x14ac:dyDescent="0.3">
      <c r="A163" s="372" t="s">
        <v>315</v>
      </c>
      <c r="B163" s="372"/>
      <c r="C163" s="778"/>
      <c r="D163" s="734"/>
      <c r="E163" s="372">
        <v>0</v>
      </c>
      <c r="F163" s="778">
        <v>0</v>
      </c>
      <c r="G163" s="734">
        <v>0</v>
      </c>
    </row>
    <row r="164" spans="1:7" x14ac:dyDescent="0.3">
      <c r="A164" s="372"/>
      <c r="B164" s="372"/>
      <c r="C164" s="778"/>
      <c r="D164" s="734"/>
      <c r="E164" s="372"/>
      <c r="F164" s="778"/>
      <c r="G164" s="734"/>
    </row>
    <row r="165" spans="1:7" x14ac:dyDescent="0.3">
      <c r="A165" s="526" t="s">
        <v>12</v>
      </c>
      <c r="B165" s="375">
        <v>0</v>
      </c>
      <c r="C165" s="779">
        <v>0</v>
      </c>
      <c r="D165" s="735">
        <v>0</v>
      </c>
      <c r="E165" s="375">
        <v>0</v>
      </c>
      <c r="F165" s="779">
        <v>0</v>
      </c>
      <c r="G165" s="735">
        <v>0</v>
      </c>
    </row>
    <row r="166" spans="1:7" x14ac:dyDescent="0.3">
      <c r="A166" s="372" t="s">
        <v>316</v>
      </c>
      <c r="B166" s="372">
        <v>0</v>
      </c>
      <c r="C166" s="778"/>
      <c r="D166" s="734"/>
      <c r="E166" s="372">
        <v>0</v>
      </c>
      <c r="F166" s="778">
        <v>0</v>
      </c>
      <c r="G166" s="734">
        <v>0</v>
      </c>
    </row>
    <row r="167" spans="1:7" x14ac:dyDescent="0.3">
      <c r="A167" s="372" t="s">
        <v>317</v>
      </c>
      <c r="B167" s="372">
        <v>0</v>
      </c>
      <c r="C167" s="778"/>
      <c r="D167" s="734"/>
      <c r="E167" s="372">
        <v>0</v>
      </c>
      <c r="F167" s="778">
        <v>0</v>
      </c>
      <c r="G167" s="734">
        <v>0</v>
      </c>
    </row>
    <row r="168" spans="1:7" x14ac:dyDescent="0.3">
      <c r="A168" s="372" t="s">
        <v>318</v>
      </c>
      <c r="B168" s="372">
        <v>0</v>
      </c>
      <c r="C168" s="778"/>
      <c r="D168" s="734"/>
      <c r="E168" s="372">
        <v>0</v>
      </c>
      <c r="F168" s="778">
        <v>0</v>
      </c>
      <c r="G168" s="734">
        <v>0</v>
      </c>
    </row>
    <row r="169" spans="1:7" x14ac:dyDescent="0.3">
      <c r="A169" s="372" t="s">
        <v>319</v>
      </c>
      <c r="B169" s="372">
        <v>0</v>
      </c>
      <c r="C169" s="778"/>
      <c r="D169" s="734"/>
      <c r="E169" s="372">
        <v>0</v>
      </c>
      <c r="F169" s="778">
        <v>0</v>
      </c>
      <c r="G169" s="734">
        <v>0</v>
      </c>
    </row>
    <row r="170" spans="1:7" x14ac:dyDescent="0.3">
      <c r="A170" s="377"/>
      <c r="B170" s="377"/>
      <c r="C170" s="780"/>
      <c r="D170" s="736"/>
      <c r="E170" s="377"/>
      <c r="F170" s="780"/>
      <c r="G170" s="736"/>
    </row>
  </sheetData>
  <mergeCells count="17">
    <mergeCell ref="A3:A4"/>
    <mergeCell ref="B3:D3"/>
    <mergeCell ref="E3:G3"/>
    <mergeCell ref="I3:I4"/>
    <mergeCell ref="J3:L3"/>
    <mergeCell ref="A37:A38"/>
    <mergeCell ref="B37:D37"/>
    <mergeCell ref="E37:G37"/>
    <mergeCell ref="A148:A149"/>
    <mergeCell ref="B148:D148"/>
    <mergeCell ref="E148:G148"/>
    <mergeCell ref="A74:A75"/>
    <mergeCell ref="B74:D74"/>
    <mergeCell ref="E74:G74"/>
    <mergeCell ref="A111:A112"/>
    <mergeCell ref="B111:D111"/>
    <mergeCell ref="E111:G111"/>
  </mergeCells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 tint="-0.249977111117893"/>
  </sheetPr>
  <dimension ref="A1:T381"/>
  <sheetViews>
    <sheetView workbookViewId="0">
      <selection sqref="A1:XFD1048576"/>
    </sheetView>
  </sheetViews>
  <sheetFormatPr defaultColWidth="9.140625" defaultRowHeight="18.75" x14ac:dyDescent="0.3"/>
  <cols>
    <col min="1" max="1" width="18.140625" style="339" customWidth="1"/>
    <col min="2" max="2" width="9" style="339" customWidth="1"/>
    <col min="3" max="3" width="11.28515625" style="722" customWidth="1"/>
    <col min="4" max="4" width="9" style="730" customWidth="1"/>
    <col min="5" max="5" width="9" style="339" customWidth="1"/>
    <col min="6" max="6" width="9" style="722" customWidth="1"/>
    <col min="7" max="7" width="9" style="730" customWidth="1"/>
    <col min="8" max="8" width="9.140625" style="339"/>
    <col min="9" max="9" width="23.28515625" style="339" customWidth="1"/>
    <col min="10" max="10" width="9.7109375" style="339" customWidth="1"/>
    <col min="11" max="11" width="10.28515625" style="722" customWidth="1"/>
    <col min="12" max="12" width="9.28515625" style="730" customWidth="1"/>
    <col min="13" max="13" width="10.42578125" style="339" customWidth="1"/>
    <col min="14" max="14" width="12.5703125" style="548" customWidth="1"/>
    <col min="15" max="15" width="12.28515625" style="548" customWidth="1"/>
    <col min="16" max="16" width="11" style="339" bestFit="1" customWidth="1"/>
    <col min="17" max="16384" width="9.140625" style="339"/>
  </cols>
  <sheetData>
    <row r="1" spans="1:20" x14ac:dyDescent="0.3">
      <c r="A1" s="342" t="s">
        <v>809</v>
      </c>
      <c r="C1" s="339"/>
      <c r="D1" s="339"/>
      <c r="F1" s="339"/>
      <c r="G1" s="339"/>
      <c r="K1" s="339"/>
      <c r="L1" s="382"/>
      <c r="N1" s="824"/>
      <c r="Q1" s="520"/>
      <c r="R1" s="520"/>
      <c r="S1" s="521"/>
      <c r="T1" s="522"/>
    </row>
    <row r="2" spans="1:20" x14ac:dyDescent="0.3">
      <c r="C2" s="339"/>
      <c r="D2" s="339"/>
      <c r="F2" s="339"/>
      <c r="G2" s="339"/>
      <c r="K2" s="339"/>
      <c r="L2" s="339"/>
      <c r="Q2" s="520"/>
      <c r="R2" s="520"/>
      <c r="S2" s="523"/>
      <c r="T2" s="520"/>
    </row>
    <row r="3" spans="1:20" ht="24.95" customHeight="1" x14ac:dyDescent="0.5">
      <c r="A3" s="3516" t="s">
        <v>0</v>
      </c>
      <c r="B3" s="3520" t="s">
        <v>6</v>
      </c>
      <c r="C3" s="3520"/>
      <c r="D3" s="3520"/>
      <c r="E3" s="3520" t="s">
        <v>2</v>
      </c>
      <c r="F3" s="3520"/>
      <c r="G3" s="3520"/>
      <c r="I3" s="3516" t="s">
        <v>0</v>
      </c>
      <c r="J3" s="3518" t="s">
        <v>28</v>
      </c>
      <c r="K3" s="3518"/>
      <c r="L3" s="3518"/>
      <c r="N3" s="468" t="s">
        <v>66</v>
      </c>
      <c r="O3" s="469"/>
      <c r="P3"/>
      <c r="Q3" s="520"/>
      <c r="R3" s="520"/>
      <c r="S3" s="520"/>
      <c r="T3" s="520"/>
    </row>
    <row r="4" spans="1:20" ht="24.95" customHeight="1" x14ac:dyDescent="0.5">
      <c r="A4" s="3517"/>
      <c r="B4" s="380" t="s">
        <v>28</v>
      </c>
      <c r="C4" s="723" t="s">
        <v>34</v>
      </c>
      <c r="D4" s="731" t="s">
        <v>62</v>
      </c>
      <c r="E4" s="380" t="s">
        <v>28</v>
      </c>
      <c r="F4" s="723" t="s">
        <v>34</v>
      </c>
      <c r="G4" s="731" t="s">
        <v>62</v>
      </c>
      <c r="I4" s="3517"/>
      <c r="J4" s="380" t="s">
        <v>28</v>
      </c>
      <c r="K4" s="723" t="s">
        <v>34</v>
      </c>
      <c r="L4" s="731" t="s">
        <v>62</v>
      </c>
      <c r="N4" s="548" t="s">
        <v>332</v>
      </c>
      <c r="P4"/>
    </row>
    <row r="5" spans="1:20" ht="24.95" customHeight="1" thickBot="1" x14ac:dyDescent="0.5">
      <c r="A5" s="525" t="s">
        <v>28</v>
      </c>
      <c r="B5" s="367">
        <v>0</v>
      </c>
      <c r="C5" s="724">
        <v>0</v>
      </c>
      <c r="D5" s="732">
        <v>0</v>
      </c>
      <c r="E5" s="367">
        <v>0</v>
      </c>
      <c r="F5" s="724">
        <v>0</v>
      </c>
      <c r="G5" s="732">
        <v>0</v>
      </c>
      <c r="I5" s="525" t="s">
        <v>28</v>
      </c>
      <c r="J5" s="367">
        <v>0</v>
      </c>
      <c r="K5" s="724">
        <v>0</v>
      </c>
      <c r="L5" s="732">
        <v>0</v>
      </c>
      <c r="N5" s="821" t="s">
        <v>338</v>
      </c>
      <c r="P5" s="821"/>
    </row>
    <row r="6" spans="1:20" s="342" customFormat="1" ht="24.95" customHeight="1" thickTop="1" x14ac:dyDescent="0.45">
      <c r="A6" s="369" t="s">
        <v>7</v>
      </c>
      <c r="B6" s="370">
        <v>0</v>
      </c>
      <c r="C6" s="725">
        <v>0</v>
      </c>
      <c r="D6" s="733">
        <v>0</v>
      </c>
      <c r="E6" s="370">
        <v>0</v>
      </c>
      <c r="F6" s="725">
        <v>0</v>
      </c>
      <c r="G6" s="733">
        <v>0</v>
      </c>
      <c r="I6" s="369" t="s">
        <v>7</v>
      </c>
      <c r="J6" s="370">
        <v>0</v>
      </c>
      <c r="K6" s="725">
        <v>0</v>
      </c>
      <c r="L6" s="733">
        <v>0</v>
      </c>
      <c r="N6" s="821" t="s">
        <v>339</v>
      </c>
      <c r="O6" s="548"/>
    </row>
    <row r="7" spans="1:20" ht="24.95" customHeight="1" x14ac:dyDescent="0.45">
      <c r="A7" s="398" t="s">
        <v>8</v>
      </c>
      <c r="B7" s="372">
        <v>0</v>
      </c>
      <c r="C7" s="726">
        <v>0</v>
      </c>
      <c r="D7" s="734">
        <v>0</v>
      </c>
      <c r="E7" s="372">
        <v>0</v>
      </c>
      <c r="F7" s="726">
        <v>0</v>
      </c>
      <c r="G7" s="734">
        <v>0</v>
      </c>
      <c r="I7" s="398" t="s">
        <v>8</v>
      </c>
      <c r="J7" s="372">
        <v>0</v>
      </c>
      <c r="K7" s="726">
        <v>0</v>
      </c>
      <c r="L7" s="734">
        <v>0</v>
      </c>
      <c r="N7" s="821" t="s">
        <v>21</v>
      </c>
      <c r="O7" s="469"/>
      <c r="Q7" s="821"/>
    </row>
    <row r="8" spans="1:20" ht="24.95" customHeight="1" x14ac:dyDescent="0.3">
      <c r="A8" s="398" t="s">
        <v>306</v>
      </c>
      <c r="B8" s="372">
        <v>0</v>
      </c>
      <c r="C8" s="726">
        <v>0</v>
      </c>
      <c r="D8" s="734">
        <v>0</v>
      </c>
      <c r="E8" s="372">
        <v>0</v>
      </c>
      <c r="F8" s="726">
        <v>0</v>
      </c>
      <c r="G8" s="734">
        <v>0</v>
      </c>
      <c r="I8" s="398" t="s">
        <v>306</v>
      </c>
      <c r="J8" s="372">
        <v>0</v>
      </c>
      <c r="K8" s="726">
        <v>0</v>
      </c>
      <c r="L8" s="734">
        <v>0</v>
      </c>
      <c r="N8" s="825" t="s">
        <v>34</v>
      </c>
      <c r="O8" s="825"/>
    </row>
    <row r="9" spans="1:20" ht="24.95" customHeight="1" x14ac:dyDescent="0.3">
      <c r="A9" s="372"/>
      <c r="B9" s="372"/>
      <c r="C9" s="726"/>
      <c r="D9" s="734"/>
      <c r="E9" s="372"/>
      <c r="F9" s="726"/>
      <c r="G9" s="734"/>
      <c r="I9" s="372"/>
      <c r="J9" s="372"/>
      <c r="K9" s="726"/>
      <c r="L9" s="734"/>
      <c r="N9" s="825" t="s">
        <v>16</v>
      </c>
      <c r="O9" s="825"/>
    </row>
    <row r="10" spans="1:20" s="342" customFormat="1" ht="24.95" customHeight="1" x14ac:dyDescent="0.3">
      <c r="A10" s="526" t="s">
        <v>9</v>
      </c>
      <c r="B10" s="375">
        <v>0</v>
      </c>
      <c r="C10" s="727">
        <v>0</v>
      </c>
      <c r="D10" s="735">
        <v>0</v>
      </c>
      <c r="E10" s="375">
        <v>0</v>
      </c>
      <c r="F10" s="727">
        <v>0</v>
      </c>
      <c r="G10" s="735">
        <v>0</v>
      </c>
      <c r="I10" s="526" t="s">
        <v>9</v>
      </c>
      <c r="J10" s="375">
        <v>0</v>
      </c>
      <c r="K10" s="727">
        <v>0</v>
      </c>
      <c r="L10" s="735">
        <v>0</v>
      </c>
      <c r="N10" s="825"/>
      <c r="O10" s="825"/>
    </row>
    <row r="11" spans="1:20" ht="24.95" customHeight="1" x14ac:dyDescent="0.3">
      <c r="A11" s="372" t="s">
        <v>308</v>
      </c>
      <c r="B11" s="372">
        <v>0</v>
      </c>
      <c r="C11" s="726">
        <v>0</v>
      </c>
      <c r="D11" s="734">
        <v>0</v>
      </c>
      <c r="E11" s="372">
        <v>0</v>
      </c>
      <c r="F11" s="726">
        <v>0</v>
      </c>
      <c r="G11" s="734">
        <v>0</v>
      </c>
      <c r="I11" s="372" t="s">
        <v>308</v>
      </c>
      <c r="J11" s="372">
        <v>0</v>
      </c>
      <c r="K11" s="726">
        <v>0</v>
      </c>
      <c r="L11" s="734">
        <v>0</v>
      </c>
    </row>
    <row r="12" spans="1:20" ht="24.95" customHeight="1" x14ac:dyDescent="0.3">
      <c r="A12" s="372" t="s">
        <v>309</v>
      </c>
      <c r="B12" s="372">
        <v>0</v>
      </c>
      <c r="C12" s="726">
        <v>0</v>
      </c>
      <c r="D12" s="734">
        <v>0</v>
      </c>
      <c r="E12" s="372">
        <v>0</v>
      </c>
      <c r="F12" s="726">
        <v>0</v>
      </c>
      <c r="G12" s="734">
        <v>0</v>
      </c>
      <c r="I12" s="372" t="s">
        <v>309</v>
      </c>
      <c r="J12" s="372">
        <v>0</v>
      </c>
      <c r="K12" s="726">
        <v>0</v>
      </c>
      <c r="L12" s="734">
        <v>0</v>
      </c>
    </row>
    <row r="13" spans="1:20" ht="24.95" customHeight="1" x14ac:dyDescent="0.3">
      <c r="A13" s="372" t="s">
        <v>310</v>
      </c>
      <c r="B13" s="372">
        <v>0</v>
      </c>
      <c r="C13" s="726">
        <v>0</v>
      </c>
      <c r="D13" s="734">
        <v>0</v>
      </c>
      <c r="E13" s="372">
        <v>0</v>
      </c>
      <c r="F13" s="726">
        <v>0</v>
      </c>
      <c r="G13" s="734">
        <v>0</v>
      </c>
      <c r="I13" s="372" t="s">
        <v>310</v>
      </c>
      <c r="J13" s="372">
        <v>0</v>
      </c>
      <c r="K13" s="726">
        <v>0</v>
      </c>
      <c r="L13" s="734">
        <v>0</v>
      </c>
    </row>
    <row r="14" spans="1:20" ht="24.95" customHeight="1" x14ac:dyDescent="0.3">
      <c r="A14" s="372" t="s">
        <v>311</v>
      </c>
      <c r="B14" s="372">
        <v>0</v>
      </c>
      <c r="C14" s="726">
        <v>0</v>
      </c>
      <c r="D14" s="734">
        <v>0</v>
      </c>
      <c r="E14" s="372">
        <v>0</v>
      </c>
      <c r="F14" s="726">
        <v>0</v>
      </c>
      <c r="G14" s="734">
        <v>0</v>
      </c>
      <c r="I14" s="372" t="s">
        <v>311</v>
      </c>
      <c r="J14" s="372">
        <v>0</v>
      </c>
      <c r="K14" s="726">
        <v>0</v>
      </c>
      <c r="L14" s="734">
        <v>0</v>
      </c>
      <c r="N14" s="379" t="s">
        <v>335</v>
      </c>
    </row>
    <row r="15" spans="1:20" ht="24.95" customHeight="1" x14ac:dyDescent="0.3">
      <c r="A15" s="372" t="s">
        <v>312</v>
      </c>
      <c r="B15" s="372">
        <v>0</v>
      </c>
      <c r="C15" s="726">
        <v>0</v>
      </c>
      <c r="D15" s="734">
        <v>0</v>
      </c>
      <c r="E15" s="372">
        <v>0</v>
      </c>
      <c r="F15" s="726">
        <v>0</v>
      </c>
      <c r="G15" s="734">
        <v>0</v>
      </c>
      <c r="I15" s="372" t="s">
        <v>312</v>
      </c>
      <c r="J15" s="372">
        <v>0</v>
      </c>
      <c r="K15" s="726">
        <v>0</v>
      </c>
      <c r="L15" s="734">
        <v>0</v>
      </c>
      <c r="N15" s="379" t="s">
        <v>336</v>
      </c>
    </row>
    <row r="16" spans="1:20" ht="24.95" customHeight="1" x14ac:dyDescent="0.3">
      <c r="A16" s="372" t="s">
        <v>313</v>
      </c>
      <c r="B16" s="372">
        <v>0</v>
      </c>
      <c r="C16" s="726">
        <v>0</v>
      </c>
      <c r="D16" s="734">
        <v>0</v>
      </c>
      <c r="E16" s="372">
        <v>0</v>
      </c>
      <c r="F16" s="726">
        <v>0</v>
      </c>
      <c r="G16" s="734">
        <v>0</v>
      </c>
      <c r="I16" s="372" t="s">
        <v>313</v>
      </c>
      <c r="J16" s="372">
        <v>0</v>
      </c>
      <c r="K16" s="726">
        <v>0</v>
      </c>
      <c r="L16" s="734">
        <v>0</v>
      </c>
      <c r="N16" s="339" t="s">
        <v>28</v>
      </c>
    </row>
    <row r="17" spans="1:15" ht="24.95" customHeight="1" x14ac:dyDescent="0.3">
      <c r="A17" s="372" t="s">
        <v>314</v>
      </c>
      <c r="B17" s="372">
        <v>0</v>
      </c>
      <c r="C17" s="726">
        <v>0</v>
      </c>
      <c r="D17" s="734">
        <v>0</v>
      </c>
      <c r="E17" s="372">
        <v>0</v>
      </c>
      <c r="F17" s="726">
        <v>0</v>
      </c>
      <c r="G17" s="734">
        <v>0</v>
      </c>
      <c r="I17" s="372" t="s">
        <v>314</v>
      </c>
      <c r="J17" s="372">
        <v>0</v>
      </c>
      <c r="K17" s="726">
        <v>0</v>
      </c>
      <c r="L17" s="734">
        <v>0</v>
      </c>
      <c r="N17" s="379" t="s">
        <v>334</v>
      </c>
    </row>
    <row r="18" spans="1:15" ht="24.95" customHeight="1" x14ac:dyDescent="0.3">
      <c r="A18" s="372" t="s">
        <v>315</v>
      </c>
      <c r="B18" s="372">
        <v>0</v>
      </c>
      <c r="C18" s="726">
        <v>0</v>
      </c>
      <c r="D18" s="734">
        <v>0</v>
      </c>
      <c r="E18" s="372">
        <v>0</v>
      </c>
      <c r="F18" s="726">
        <v>0</v>
      </c>
      <c r="G18" s="734">
        <v>0</v>
      </c>
      <c r="I18" s="372" t="s">
        <v>315</v>
      </c>
      <c r="J18" s="372"/>
      <c r="K18" s="726">
        <v>0</v>
      </c>
      <c r="L18" s="734">
        <v>0</v>
      </c>
      <c r="N18" s="339" t="s">
        <v>16</v>
      </c>
    </row>
    <row r="19" spans="1:15" ht="24.95" customHeight="1" x14ac:dyDescent="0.3">
      <c r="A19" s="372" t="s">
        <v>390</v>
      </c>
      <c r="B19" s="372">
        <v>0</v>
      </c>
      <c r="C19" s="726">
        <v>0</v>
      </c>
      <c r="D19" s="734">
        <v>0</v>
      </c>
      <c r="E19" s="372">
        <v>0</v>
      </c>
      <c r="F19" s="726">
        <v>0</v>
      </c>
      <c r="G19" s="734">
        <v>0</v>
      </c>
      <c r="I19" s="372" t="s">
        <v>390</v>
      </c>
      <c r="J19" s="372"/>
      <c r="K19" s="726">
        <v>0</v>
      </c>
      <c r="L19" s="734">
        <v>0</v>
      </c>
    </row>
    <row r="20" spans="1:15" s="342" customFormat="1" ht="24.95" customHeight="1" x14ac:dyDescent="0.3">
      <c r="A20" s="526" t="s">
        <v>12</v>
      </c>
      <c r="B20" s="375">
        <v>0</v>
      </c>
      <c r="C20" s="727">
        <v>0</v>
      </c>
      <c r="D20" s="735">
        <v>0</v>
      </c>
      <c r="E20" s="375">
        <v>0</v>
      </c>
      <c r="F20" s="727">
        <v>0</v>
      </c>
      <c r="G20" s="735">
        <v>0</v>
      </c>
      <c r="I20" s="526" t="s">
        <v>12</v>
      </c>
      <c r="J20" s="375">
        <v>0</v>
      </c>
      <c r="K20" s="727">
        <v>0</v>
      </c>
      <c r="L20" s="735">
        <v>0</v>
      </c>
      <c r="N20" s="825"/>
      <c r="O20" s="825"/>
    </row>
    <row r="21" spans="1:15" ht="24.95" customHeight="1" x14ac:dyDescent="0.3">
      <c r="A21" s="372" t="s">
        <v>391</v>
      </c>
      <c r="B21" s="372">
        <v>0</v>
      </c>
      <c r="C21" s="726">
        <v>0</v>
      </c>
      <c r="D21" s="734">
        <v>0</v>
      </c>
      <c r="E21" s="372">
        <v>0</v>
      </c>
      <c r="F21" s="726">
        <v>0</v>
      </c>
      <c r="G21" s="734">
        <v>0</v>
      </c>
      <c r="I21" s="372" t="s">
        <v>391</v>
      </c>
      <c r="J21" s="372">
        <v>0</v>
      </c>
      <c r="K21" s="726">
        <v>0</v>
      </c>
      <c r="L21" s="734">
        <v>0</v>
      </c>
    </row>
    <row r="22" spans="1:15" ht="24.95" customHeight="1" x14ac:dyDescent="0.3">
      <c r="A22" s="372" t="s">
        <v>392</v>
      </c>
      <c r="B22" s="372">
        <v>0</v>
      </c>
      <c r="C22" s="726">
        <v>0</v>
      </c>
      <c r="D22" s="734">
        <v>0</v>
      </c>
      <c r="E22" s="372">
        <v>0</v>
      </c>
      <c r="F22" s="726">
        <v>0</v>
      </c>
      <c r="G22" s="734">
        <v>0</v>
      </c>
      <c r="I22" s="372" t="s">
        <v>392</v>
      </c>
      <c r="J22" s="372">
        <v>0</v>
      </c>
      <c r="K22" s="726">
        <v>0</v>
      </c>
      <c r="L22" s="734">
        <v>0</v>
      </c>
    </row>
    <row r="23" spans="1:15" ht="24.95" customHeight="1" x14ac:dyDescent="0.3">
      <c r="A23" s="372" t="s">
        <v>393</v>
      </c>
      <c r="B23" s="372">
        <v>0</v>
      </c>
      <c r="C23" s="726">
        <v>0</v>
      </c>
      <c r="D23" s="734">
        <v>0</v>
      </c>
      <c r="E23" s="372">
        <v>0</v>
      </c>
      <c r="F23" s="726">
        <v>0</v>
      </c>
      <c r="G23" s="734">
        <v>0</v>
      </c>
      <c r="I23" s="372" t="s">
        <v>393</v>
      </c>
      <c r="J23" s="372">
        <v>0</v>
      </c>
      <c r="K23" s="726">
        <v>0</v>
      </c>
      <c r="L23" s="734">
        <v>0</v>
      </c>
    </row>
    <row r="24" spans="1:15" ht="24.95" customHeight="1" x14ac:dyDescent="0.3">
      <c r="A24" s="372" t="s">
        <v>394</v>
      </c>
      <c r="B24" s="372">
        <v>0</v>
      </c>
      <c r="C24" s="726">
        <v>0</v>
      </c>
      <c r="D24" s="734">
        <v>0</v>
      </c>
      <c r="E24" s="372">
        <v>0</v>
      </c>
      <c r="F24" s="726">
        <v>0</v>
      </c>
      <c r="G24" s="734">
        <v>0</v>
      </c>
      <c r="I24" s="372" t="s">
        <v>394</v>
      </c>
      <c r="J24" s="372">
        <v>0</v>
      </c>
      <c r="K24" s="726">
        <v>0</v>
      </c>
      <c r="L24" s="734">
        <v>0</v>
      </c>
    </row>
    <row r="25" spans="1:15" ht="24.95" customHeight="1" x14ac:dyDescent="0.3">
      <c r="A25" s="377"/>
      <c r="B25" s="377"/>
      <c r="C25" s="728"/>
      <c r="D25" s="736"/>
      <c r="E25" s="377"/>
      <c r="F25" s="728"/>
      <c r="G25" s="736"/>
      <c r="I25" s="377"/>
      <c r="J25" s="377"/>
      <c r="K25" s="728"/>
      <c r="L25" s="736"/>
    </row>
    <row r="26" spans="1:15" x14ac:dyDescent="0.3">
      <c r="C26" s="339"/>
      <c r="D26" s="339"/>
      <c r="F26" s="339"/>
      <c r="G26" s="339"/>
      <c r="K26" s="339"/>
      <c r="L26" s="339"/>
    </row>
    <row r="27" spans="1:15" x14ac:dyDescent="0.3">
      <c r="C27" s="339"/>
      <c r="D27" s="339"/>
      <c r="F27" s="339"/>
      <c r="G27" s="339"/>
      <c r="K27" s="339"/>
      <c r="L27" s="339"/>
    </row>
    <row r="28" spans="1:15" x14ac:dyDescent="0.3">
      <c r="C28" s="339"/>
      <c r="D28" s="339"/>
      <c r="F28" s="339"/>
      <c r="G28" s="339"/>
      <c r="K28" s="339"/>
      <c r="L28" s="339"/>
    </row>
    <row r="29" spans="1:15" x14ac:dyDescent="0.3">
      <c r="C29" s="339"/>
      <c r="D29" s="339"/>
      <c r="F29" s="339"/>
      <c r="G29" s="339"/>
      <c r="K29" s="339"/>
      <c r="L29" s="339"/>
    </row>
    <row r="30" spans="1:15" x14ac:dyDescent="0.3">
      <c r="C30" s="339"/>
      <c r="D30" s="339"/>
      <c r="F30" s="339"/>
      <c r="G30" s="339"/>
      <c r="K30" s="339"/>
      <c r="L30" s="339"/>
    </row>
    <row r="31" spans="1:15" x14ac:dyDescent="0.3">
      <c r="C31" s="339"/>
      <c r="D31" s="339"/>
      <c r="F31" s="339"/>
      <c r="G31" s="339"/>
      <c r="K31" s="339"/>
      <c r="L31" s="339"/>
    </row>
    <row r="32" spans="1:15" x14ac:dyDescent="0.3">
      <c r="C32" s="339"/>
      <c r="D32" s="339"/>
      <c r="F32" s="339"/>
      <c r="G32" s="339"/>
      <c r="K32" s="339"/>
      <c r="L32" s="339"/>
    </row>
    <row r="33" spans="1:12" x14ac:dyDescent="0.3">
      <c r="C33" s="339"/>
      <c r="D33" s="339"/>
      <c r="F33" s="339"/>
      <c r="G33" s="339"/>
      <c r="K33" s="339"/>
      <c r="L33" s="339"/>
    </row>
    <row r="34" spans="1:12" x14ac:dyDescent="0.3">
      <c r="C34" s="339"/>
      <c r="D34" s="339"/>
      <c r="F34" s="339"/>
      <c r="G34" s="339"/>
      <c r="K34" s="339"/>
      <c r="L34" s="339"/>
    </row>
    <row r="35" spans="1:12" x14ac:dyDescent="0.3">
      <c r="C35" s="339"/>
      <c r="D35" s="339"/>
      <c r="F35" s="339"/>
      <c r="G35" s="339"/>
      <c r="K35" s="339"/>
      <c r="L35" s="339"/>
    </row>
    <row r="36" spans="1:12" x14ac:dyDescent="0.3">
      <c r="C36" s="339"/>
      <c r="D36" s="339"/>
      <c r="F36" s="339"/>
      <c r="G36" s="339"/>
      <c r="K36" s="339"/>
      <c r="L36" s="339"/>
    </row>
    <row r="37" spans="1:12" x14ac:dyDescent="0.3">
      <c r="A37" s="3516" t="s">
        <v>0</v>
      </c>
      <c r="B37" s="3520" t="s">
        <v>1</v>
      </c>
      <c r="C37" s="3520"/>
      <c r="D37" s="3520"/>
      <c r="E37" s="3520" t="s">
        <v>3</v>
      </c>
      <c r="F37" s="3520"/>
      <c r="G37" s="3520"/>
      <c r="K37" s="339"/>
      <c r="L37" s="339"/>
    </row>
    <row r="38" spans="1:12" x14ac:dyDescent="0.3">
      <c r="A38" s="3517"/>
      <c r="B38" s="380" t="s">
        <v>28</v>
      </c>
      <c r="C38" s="723" t="s">
        <v>34</v>
      </c>
      <c r="D38" s="731" t="s">
        <v>62</v>
      </c>
      <c r="E38" s="380" t="s">
        <v>28</v>
      </c>
      <c r="F38" s="723" t="s">
        <v>34</v>
      </c>
      <c r="G38" s="731" t="s">
        <v>62</v>
      </c>
      <c r="K38" s="339"/>
      <c r="L38" s="339"/>
    </row>
    <row r="39" spans="1:12" ht="19.5" thickBot="1" x14ac:dyDescent="0.35">
      <c r="A39" s="525" t="s">
        <v>28</v>
      </c>
      <c r="B39" s="367">
        <v>0</v>
      </c>
      <c r="C39" s="724">
        <v>0</v>
      </c>
      <c r="D39" s="737">
        <v>0</v>
      </c>
      <c r="E39" s="367">
        <v>0</v>
      </c>
      <c r="F39" s="724">
        <v>0</v>
      </c>
      <c r="G39" s="732">
        <v>0</v>
      </c>
      <c r="K39" s="339"/>
      <c r="L39" s="339"/>
    </row>
    <row r="40" spans="1:12" ht="19.5" thickTop="1" x14ac:dyDescent="0.3">
      <c r="A40" s="369" t="s">
        <v>7</v>
      </c>
      <c r="B40" s="370">
        <v>0</v>
      </c>
      <c r="C40" s="725">
        <v>0</v>
      </c>
      <c r="D40" s="733">
        <v>0</v>
      </c>
      <c r="E40" s="370">
        <v>0</v>
      </c>
      <c r="F40" s="725">
        <v>0</v>
      </c>
      <c r="G40" s="733">
        <v>0</v>
      </c>
      <c r="K40" s="339"/>
      <c r="L40" s="339"/>
    </row>
    <row r="41" spans="1:12" x14ac:dyDescent="0.3">
      <c r="A41" s="398" t="s">
        <v>8</v>
      </c>
      <c r="B41" s="372">
        <v>0</v>
      </c>
      <c r="C41" s="726"/>
      <c r="D41" s="734"/>
      <c r="E41" s="372">
        <v>0</v>
      </c>
      <c r="F41" s="726"/>
      <c r="G41" s="734"/>
      <c r="K41" s="339"/>
      <c r="L41" s="339"/>
    </row>
    <row r="42" spans="1:12" x14ac:dyDescent="0.3">
      <c r="A42" s="398" t="s">
        <v>306</v>
      </c>
      <c r="B42" s="372">
        <v>0</v>
      </c>
      <c r="C42" s="726"/>
      <c r="D42" s="734"/>
      <c r="E42" s="372">
        <v>0</v>
      </c>
      <c r="F42" s="726"/>
      <c r="G42" s="734"/>
      <c r="K42" s="339"/>
      <c r="L42" s="339"/>
    </row>
    <row r="43" spans="1:12" x14ac:dyDescent="0.3">
      <c r="A43" s="372"/>
      <c r="B43" s="372"/>
      <c r="C43" s="726"/>
      <c r="D43" s="734"/>
      <c r="E43" s="372"/>
      <c r="F43" s="726"/>
      <c r="G43" s="734"/>
      <c r="K43" s="339"/>
      <c r="L43" s="339"/>
    </row>
    <row r="44" spans="1:12" x14ac:dyDescent="0.3">
      <c r="A44" s="526" t="s">
        <v>9</v>
      </c>
      <c r="B44" s="375">
        <v>0</v>
      </c>
      <c r="C44" s="727">
        <v>0</v>
      </c>
      <c r="D44" s="735">
        <v>0</v>
      </c>
      <c r="E44" s="375">
        <v>0</v>
      </c>
      <c r="F44" s="727">
        <v>0</v>
      </c>
      <c r="G44" s="735">
        <v>0</v>
      </c>
      <c r="K44" s="339"/>
      <c r="L44" s="339"/>
    </row>
    <row r="45" spans="1:12" x14ac:dyDescent="0.3">
      <c r="A45" s="372" t="s">
        <v>308</v>
      </c>
      <c r="B45" s="372">
        <v>0</v>
      </c>
      <c r="C45" s="726"/>
      <c r="D45" s="734"/>
      <c r="E45" s="372">
        <v>0</v>
      </c>
      <c r="F45" s="726"/>
      <c r="G45" s="734"/>
      <c r="K45" s="339"/>
      <c r="L45" s="339"/>
    </row>
    <row r="46" spans="1:12" x14ac:dyDescent="0.3">
      <c r="A46" s="372" t="s">
        <v>309</v>
      </c>
      <c r="B46" s="372">
        <v>0</v>
      </c>
      <c r="C46" s="726"/>
      <c r="D46" s="734"/>
      <c r="E46" s="372">
        <v>0</v>
      </c>
      <c r="F46" s="726"/>
      <c r="G46" s="734"/>
      <c r="K46" s="339"/>
      <c r="L46" s="339"/>
    </row>
    <row r="47" spans="1:12" x14ac:dyDescent="0.3">
      <c r="A47" s="372" t="s">
        <v>310</v>
      </c>
      <c r="B47" s="372">
        <v>0</v>
      </c>
      <c r="C47" s="726"/>
      <c r="D47" s="734"/>
      <c r="E47" s="372">
        <v>0</v>
      </c>
      <c r="F47" s="726"/>
      <c r="G47" s="734"/>
      <c r="K47" s="339"/>
      <c r="L47" s="339"/>
    </row>
    <row r="48" spans="1:12" x14ac:dyDescent="0.3">
      <c r="A48" s="372" t="s">
        <v>311</v>
      </c>
      <c r="B48" s="372">
        <v>0</v>
      </c>
      <c r="C48" s="726"/>
      <c r="D48" s="734"/>
      <c r="E48" s="372">
        <v>0</v>
      </c>
      <c r="F48" s="726"/>
      <c r="G48" s="734"/>
      <c r="K48" s="339"/>
      <c r="L48" s="339"/>
    </row>
    <row r="49" spans="1:12" x14ac:dyDescent="0.3">
      <c r="A49" s="372" t="s">
        <v>312</v>
      </c>
      <c r="B49" s="372">
        <v>0</v>
      </c>
      <c r="C49" s="726"/>
      <c r="D49" s="734"/>
      <c r="E49" s="372">
        <v>0</v>
      </c>
      <c r="F49" s="726"/>
      <c r="G49" s="734"/>
      <c r="K49" s="339"/>
      <c r="L49" s="339"/>
    </row>
    <row r="50" spans="1:12" x14ac:dyDescent="0.3">
      <c r="A50" s="372" t="s">
        <v>313</v>
      </c>
      <c r="B50" s="372">
        <v>0</v>
      </c>
      <c r="C50" s="726"/>
      <c r="D50" s="734"/>
      <c r="E50" s="372">
        <v>0</v>
      </c>
      <c r="F50" s="726"/>
      <c r="G50" s="734"/>
      <c r="K50" s="339"/>
      <c r="L50" s="339"/>
    </row>
    <row r="51" spans="1:12" x14ac:dyDescent="0.3">
      <c r="A51" s="372" t="s">
        <v>314</v>
      </c>
      <c r="B51" s="372"/>
      <c r="C51" s="726"/>
      <c r="D51" s="734"/>
      <c r="E51" s="372">
        <v>0</v>
      </c>
      <c r="F51" s="726"/>
      <c r="G51" s="734"/>
      <c r="K51" s="339"/>
      <c r="L51" s="339"/>
    </row>
    <row r="52" spans="1:12" x14ac:dyDescent="0.3">
      <c r="A52" s="372" t="s">
        <v>315</v>
      </c>
      <c r="B52" s="372"/>
      <c r="C52" s="726"/>
      <c r="D52" s="734"/>
      <c r="E52" s="372">
        <v>0</v>
      </c>
      <c r="F52" s="726"/>
      <c r="G52" s="734"/>
      <c r="K52" s="339"/>
      <c r="L52" s="339"/>
    </row>
    <row r="53" spans="1:12" x14ac:dyDescent="0.3">
      <c r="A53" s="372"/>
      <c r="B53" s="372"/>
      <c r="C53" s="726"/>
      <c r="D53" s="734"/>
      <c r="E53" s="372"/>
      <c r="F53" s="726"/>
      <c r="G53" s="734"/>
      <c r="K53" s="339"/>
      <c r="L53" s="339"/>
    </row>
    <row r="54" spans="1:12" x14ac:dyDescent="0.3">
      <c r="A54" s="526" t="s">
        <v>12</v>
      </c>
      <c r="B54" s="375">
        <v>0</v>
      </c>
      <c r="C54" s="727">
        <v>0</v>
      </c>
      <c r="D54" s="735">
        <v>0</v>
      </c>
      <c r="E54" s="375">
        <v>0</v>
      </c>
      <c r="F54" s="727">
        <v>0</v>
      </c>
      <c r="G54" s="735">
        <v>0</v>
      </c>
      <c r="K54" s="339"/>
      <c r="L54" s="339"/>
    </row>
    <row r="55" spans="1:12" x14ac:dyDescent="0.3">
      <c r="A55" s="372" t="s">
        <v>316</v>
      </c>
      <c r="B55" s="372">
        <v>0</v>
      </c>
      <c r="C55" s="726"/>
      <c r="D55" s="734"/>
      <c r="E55" s="372">
        <v>0</v>
      </c>
      <c r="F55" s="726"/>
      <c r="G55" s="734"/>
      <c r="K55" s="339"/>
      <c r="L55" s="339"/>
    </row>
    <row r="56" spans="1:12" x14ac:dyDescent="0.3">
      <c r="A56" s="372" t="s">
        <v>317</v>
      </c>
      <c r="B56" s="372">
        <v>0</v>
      </c>
      <c r="C56" s="726"/>
      <c r="D56" s="734"/>
      <c r="E56" s="372">
        <v>0</v>
      </c>
      <c r="F56" s="726"/>
      <c r="G56" s="734"/>
      <c r="K56" s="339"/>
      <c r="L56" s="339"/>
    </row>
    <row r="57" spans="1:12" x14ac:dyDescent="0.3">
      <c r="A57" s="372" t="s">
        <v>318</v>
      </c>
      <c r="B57" s="372">
        <v>0</v>
      </c>
      <c r="C57" s="726"/>
      <c r="D57" s="734"/>
      <c r="E57" s="372">
        <v>0</v>
      </c>
      <c r="F57" s="726"/>
      <c r="G57" s="734"/>
      <c r="K57" s="339"/>
      <c r="L57" s="339"/>
    </row>
    <row r="58" spans="1:12" x14ac:dyDescent="0.3">
      <c r="A58" s="372" t="s">
        <v>319</v>
      </c>
      <c r="B58" s="372">
        <v>0</v>
      </c>
      <c r="C58" s="726"/>
      <c r="D58" s="734"/>
      <c r="E58" s="372">
        <v>0</v>
      </c>
      <c r="F58" s="726"/>
      <c r="G58" s="734"/>
      <c r="K58" s="339"/>
      <c r="L58" s="339"/>
    </row>
    <row r="59" spans="1:12" x14ac:dyDescent="0.3">
      <c r="A59" s="377"/>
      <c r="B59" s="377"/>
      <c r="C59" s="728"/>
      <c r="D59" s="736"/>
      <c r="E59" s="377"/>
      <c r="F59" s="728"/>
      <c r="G59" s="736"/>
      <c r="K59" s="339"/>
      <c r="L59" s="339"/>
    </row>
    <row r="60" spans="1:12" x14ac:dyDescent="0.3">
      <c r="C60" s="339"/>
      <c r="D60" s="339"/>
      <c r="F60" s="339"/>
      <c r="G60" s="339"/>
      <c r="K60" s="339"/>
      <c r="L60" s="339"/>
    </row>
    <row r="61" spans="1:12" x14ac:dyDescent="0.3">
      <c r="C61" s="339"/>
      <c r="D61" s="339"/>
      <c r="F61" s="339"/>
      <c r="G61" s="339"/>
      <c r="K61" s="339"/>
      <c r="L61" s="339"/>
    </row>
    <row r="62" spans="1:12" x14ac:dyDescent="0.3">
      <c r="C62" s="339"/>
      <c r="D62" s="339"/>
      <c r="F62" s="339"/>
      <c r="G62" s="339"/>
      <c r="K62" s="339"/>
      <c r="L62" s="339"/>
    </row>
    <row r="63" spans="1:12" x14ac:dyDescent="0.3">
      <c r="C63" s="339"/>
      <c r="D63" s="339"/>
      <c r="F63" s="339"/>
      <c r="G63" s="339"/>
      <c r="K63" s="339"/>
      <c r="L63" s="339"/>
    </row>
    <row r="64" spans="1:12" x14ac:dyDescent="0.3">
      <c r="C64" s="339"/>
      <c r="D64" s="339"/>
      <c r="F64" s="339"/>
      <c r="G64" s="339"/>
      <c r="K64" s="339"/>
      <c r="L64" s="339"/>
    </row>
    <row r="65" spans="1:12" x14ac:dyDescent="0.3">
      <c r="C65" s="339"/>
      <c r="D65" s="339"/>
      <c r="F65" s="339"/>
      <c r="G65" s="339"/>
      <c r="K65" s="339"/>
      <c r="L65" s="339"/>
    </row>
    <row r="66" spans="1:12" x14ac:dyDescent="0.3">
      <c r="C66" s="339"/>
      <c r="D66" s="339"/>
      <c r="F66" s="339"/>
      <c r="G66" s="339"/>
      <c r="K66" s="339"/>
      <c r="L66" s="339"/>
    </row>
    <row r="67" spans="1:12" x14ac:dyDescent="0.3">
      <c r="C67" s="339"/>
      <c r="D67" s="339"/>
      <c r="F67" s="339"/>
      <c r="G67" s="339"/>
      <c r="K67" s="339"/>
      <c r="L67" s="339"/>
    </row>
    <row r="68" spans="1:12" x14ac:dyDescent="0.3">
      <c r="C68" s="339"/>
      <c r="D68" s="339"/>
      <c r="F68" s="339"/>
      <c r="G68" s="339"/>
      <c r="K68" s="339"/>
      <c r="L68" s="339"/>
    </row>
    <row r="69" spans="1:12" x14ac:dyDescent="0.3">
      <c r="C69" s="339"/>
      <c r="D69" s="339"/>
      <c r="F69" s="339"/>
      <c r="G69" s="339"/>
      <c r="K69" s="339"/>
      <c r="L69" s="339"/>
    </row>
    <row r="70" spans="1:12" x14ac:dyDescent="0.3">
      <c r="C70" s="339"/>
      <c r="D70" s="339"/>
      <c r="F70" s="339"/>
      <c r="G70" s="339"/>
      <c r="K70" s="339"/>
      <c r="L70" s="339"/>
    </row>
    <row r="71" spans="1:12" x14ac:dyDescent="0.3">
      <c r="C71" s="339"/>
      <c r="D71" s="339"/>
      <c r="F71" s="339"/>
      <c r="G71" s="339"/>
      <c r="K71" s="339"/>
      <c r="L71" s="339"/>
    </row>
    <row r="72" spans="1:12" x14ac:dyDescent="0.3">
      <c r="C72" s="339"/>
      <c r="D72" s="339"/>
      <c r="F72" s="339"/>
      <c r="G72" s="339"/>
      <c r="K72" s="339"/>
      <c r="L72" s="339"/>
    </row>
    <row r="73" spans="1:12" x14ac:dyDescent="0.3">
      <c r="C73" s="339"/>
      <c r="D73" s="339"/>
      <c r="F73" s="339"/>
      <c r="G73" s="339"/>
      <c r="K73" s="339"/>
      <c r="L73" s="339"/>
    </row>
    <row r="74" spans="1:12" x14ac:dyDescent="0.3">
      <c r="A74" s="3516" t="s">
        <v>0</v>
      </c>
      <c r="B74" s="3520" t="s">
        <v>24</v>
      </c>
      <c r="C74" s="3520"/>
      <c r="D74" s="3520"/>
      <c r="E74" s="3520" t="s">
        <v>23</v>
      </c>
      <c r="F74" s="3520"/>
      <c r="G74" s="3520"/>
      <c r="K74" s="339"/>
      <c r="L74" s="339"/>
    </row>
    <row r="75" spans="1:12" x14ac:dyDescent="0.3">
      <c r="A75" s="3517"/>
      <c r="B75" s="380" t="s">
        <v>28</v>
      </c>
      <c r="C75" s="723" t="s">
        <v>34</v>
      </c>
      <c r="D75" s="731" t="s">
        <v>62</v>
      </c>
      <c r="E75" s="380" t="s">
        <v>28</v>
      </c>
      <c r="F75" s="723" t="s">
        <v>34</v>
      </c>
      <c r="G75" s="731" t="s">
        <v>62</v>
      </c>
      <c r="K75" s="339"/>
      <c r="L75" s="339"/>
    </row>
    <row r="76" spans="1:12" ht="19.5" thickBot="1" x14ac:dyDescent="0.35">
      <c r="A76" s="525" t="s">
        <v>28</v>
      </c>
      <c r="B76" s="367">
        <v>0</v>
      </c>
      <c r="C76" s="724">
        <v>0</v>
      </c>
      <c r="D76" s="732">
        <v>0</v>
      </c>
      <c r="E76" s="367">
        <v>0</v>
      </c>
      <c r="F76" s="724">
        <v>0</v>
      </c>
      <c r="G76" s="732">
        <v>0</v>
      </c>
      <c r="K76" s="339"/>
      <c r="L76" s="339"/>
    </row>
    <row r="77" spans="1:12" ht="19.5" thickTop="1" x14ac:dyDescent="0.3">
      <c r="A77" s="369" t="s">
        <v>7</v>
      </c>
      <c r="B77" s="370">
        <v>0</v>
      </c>
      <c r="C77" s="725">
        <v>0</v>
      </c>
      <c r="D77" s="733">
        <v>0</v>
      </c>
      <c r="E77" s="370">
        <v>0</v>
      </c>
      <c r="F77" s="725">
        <v>0</v>
      </c>
      <c r="G77" s="733">
        <v>0</v>
      </c>
      <c r="K77" s="339"/>
      <c r="L77" s="339"/>
    </row>
    <row r="78" spans="1:12" x14ac:dyDescent="0.3">
      <c r="A78" s="398" t="s">
        <v>8</v>
      </c>
      <c r="B78" s="372">
        <v>0</v>
      </c>
      <c r="C78" s="726"/>
      <c r="D78" s="734"/>
      <c r="E78" s="372">
        <v>0</v>
      </c>
      <c r="F78" s="726"/>
      <c r="G78" s="734"/>
      <c r="K78" s="339"/>
      <c r="L78" s="339"/>
    </row>
    <row r="79" spans="1:12" x14ac:dyDescent="0.3">
      <c r="A79" s="398" t="s">
        <v>306</v>
      </c>
      <c r="B79" s="372">
        <v>0</v>
      </c>
      <c r="C79" s="726"/>
      <c r="D79" s="734"/>
      <c r="E79" s="372">
        <v>0</v>
      </c>
      <c r="F79" s="726"/>
      <c r="G79" s="734"/>
      <c r="K79" s="339"/>
      <c r="L79" s="339"/>
    </row>
    <row r="80" spans="1:12" x14ac:dyDescent="0.3">
      <c r="A80" s="372"/>
      <c r="B80" s="372"/>
      <c r="C80" s="726"/>
      <c r="D80" s="734"/>
      <c r="E80" s="372"/>
      <c r="F80" s="726"/>
      <c r="G80" s="734"/>
      <c r="K80" s="339"/>
      <c r="L80" s="339"/>
    </row>
    <row r="81" spans="1:12" x14ac:dyDescent="0.3">
      <c r="A81" s="526" t="s">
        <v>9</v>
      </c>
      <c r="B81" s="375">
        <v>0</v>
      </c>
      <c r="C81" s="727">
        <v>0</v>
      </c>
      <c r="D81" s="735">
        <v>0</v>
      </c>
      <c r="E81" s="375">
        <v>0</v>
      </c>
      <c r="F81" s="727">
        <v>0</v>
      </c>
      <c r="G81" s="735">
        <v>0</v>
      </c>
      <c r="K81" s="339"/>
      <c r="L81" s="339"/>
    </row>
    <row r="82" spans="1:12" x14ac:dyDescent="0.3">
      <c r="A82" s="372" t="s">
        <v>308</v>
      </c>
      <c r="B82" s="372">
        <v>0</v>
      </c>
      <c r="C82" s="726"/>
      <c r="D82" s="734"/>
      <c r="E82" s="372">
        <v>0</v>
      </c>
      <c r="F82" s="726"/>
      <c r="G82" s="734"/>
      <c r="K82" s="339"/>
      <c r="L82" s="339"/>
    </row>
    <row r="83" spans="1:12" x14ac:dyDescent="0.3">
      <c r="A83" s="372" t="s">
        <v>309</v>
      </c>
      <c r="B83" s="372">
        <v>0</v>
      </c>
      <c r="C83" s="726"/>
      <c r="D83" s="734"/>
      <c r="E83" s="372">
        <v>0</v>
      </c>
      <c r="F83" s="726"/>
      <c r="G83" s="734"/>
      <c r="K83" s="339"/>
      <c r="L83" s="339"/>
    </row>
    <row r="84" spans="1:12" x14ac:dyDescent="0.3">
      <c r="A84" s="372" t="s">
        <v>310</v>
      </c>
      <c r="B84" s="372">
        <v>0</v>
      </c>
      <c r="C84" s="726"/>
      <c r="D84" s="734"/>
      <c r="E84" s="372">
        <v>0</v>
      </c>
      <c r="F84" s="726"/>
      <c r="G84" s="734"/>
      <c r="K84" s="339"/>
      <c r="L84" s="339"/>
    </row>
    <row r="85" spans="1:12" x14ac:dyDescent="0.3">
      <c r="A85" s="372" t="s">
        <v>311</v>
      </c>
      <c r="B85" s="372">
        <v>0</v>
      </c>
      <c r="C85" s="726"/>
      <c r="D85" s="734"/>
      <c r="E85" s="372">
        <v>0</v>
      </c>
      <c r="F85" s="726"/>
      <c r="G85" s="734"/>
      <c r="K85" s="339"/>
      <c r="L85" s="339"/>
    </row>
    <row r="86" spans="1:12" x14ac:dyDescent="0.3">
      <c r="A86" s="372" t="s">
        <v>312</v>
      </c>
      <c r="B86" s="372">
        <v>0</v>
      </c>
      <c r="C86" s="726"/>
      <c r="D86" s="734"/>
      <c r="E86" s="372">
        <v>0</v>
      </c>
      <c r="F86" s="726"/>
      <c r="G86" s="734"/>
      <c r="K86" s="339"/>
      <c r="L86" s="339"/>
    </row>
    <row r="87" spans="1:12" x14ac:dyDescent="0.3">
      <c r="A87" s="372" t="s">
        <v>313</v>
      </c>
      <c r="B87" s="372">
        <v>0</v>
      </c>
      <c r="C87" s="726"/>
      <c r="D87" s="734"/>
      <c r="E87" s="372">
        <v>0</v>
      </c>
      <c r="F87" s="726"/>
      <c r="G87" s="734"/>
      <c r="K87" s="339"/>
      <c r="L87" s="339"/>
    </row>
    <row r="88" spans="1:12" x14ac:dyDescent="0.3">
      <c r="A88" s="372" t="s">
        <v>314</v>
      </c>
      <c r="B88" s="372"/>
      <c r="C88" s="726"/>
      <c r="D88" s="734"/>
      <c r="E88" s="372"/>
      <c r="F88" s="726"/>
      <c r="G88" s="734"/>
      <c r="K88" s="339"/>
      <c r="L88" s="339"/>
    </row>
    <row r="89" spans="1:12" x14ac:dyDescent="0.3">
      <c r="A89" s="372" t="s">
        <v>315</v>
      </c>
      <c r="B89" s="372"/>
      <c r="C89" s="726"/>
      <c r="D89" s="734"/>
      <c r="E89" s="372"/>
      <c r="F89" s="726"/>
      <c r="G89" s="734"/>
      <c r="K89" s="339"/>
      <c r="L89" s="339"/>
    </row>
    <row r="90" spans="1:12" x14ac:dyDescent="0.3">
      <c r="A90" s="372"/>
      <c r="B90" s="372"/>
      <c r="C90" s="726"/>
      <c r="D90" s="734"/>
      <c r="E90" s="372"/>
      <c r="F90" s="726"/>
      <c r="G90" s="734"/>
      <c r="K90" s="339"/>
      <c r="L90" s="339"/>
    </row>
    <row r="91" spans="1:12" x14ac:dyDescent="0.3">
      <c r="A91" s="526" t="s">
        <v>12</v>
      </c>
      <c r="B91" s="375">
        <v>0</v>
      </c>
      <c r="C91" s="727">
        <v>0</v>
      </c>
      <c r="D91" s="735">
        <v>0</v>
      </c>
      <c r="E91" s="375">
        <v>0</v>
      </c>
      <c r="F91" s="727">
        <v>0</v>
      </c>
      <c r="G91" s="735">
        <v>0</v>
      </c>
      <c r="K91" s="339"/>
      <c r="L91" s="339"/>
    </row>
    <row r="92" spans="1:12" x14ac:dyDescent="0.3">
      <c r="A92" s="372" t="s">
        <v>316</v>
      </c>
      <c r="B92" s="372">
        <v>0</v>
      </c>
      <c r="C92" s="726"/>
      <c r="D92" s="734"/>
      <c r="E92" s="372">
        <v>0</v>
      </c>
      <c r="F92" s="726"/>
      <c r="G92" s="734"/>
      <c r="K92" s="339"/>
      <c r="L92" s="339"/>
    </row>
    <row r="93" spans="1:12" x14ac:dyDescent="0.3">
      <c r="A93" s="372" t="s">
        <v>317</v>
      </c>
      <c r="B93" s="372">
        <v>0</v>
      </c>
      <c r="C93" s="726"/>
      <c r="D93" s="734"/>
      <c r="E93" s="372">
        <v>0</v>
      </c>
      <c r="F93" s="726"/>
      <c r="G93" s="734"/>
      <c r="K93" s="339"/>
      <c r="L93" s="339"/>
    </row>
    <row r="94" spans="1:12" x14ac:dyDescent="0.3">
      <c r="A94" s="372" t="s">
        <v>318</v>
      </c>
      <c r="B94" s="372">
        <v>0</v>
      </c>
      <c r="C94" s="726"/>
      <c r="D94" s="734"/>
      <c r="E94" s="372">
        <v>0</v>
      </c>
      <c r="F94" s="726"/>
      <c r="G94" s="734"/>
      <c r="K94" s="339"/>
      <c r="L94" s="339"/>
    </row>
    <row r="95" spans="1:12" x14ac:dyDescent="0.3">
      <c r="A95" s="372" t="s">
        <v>319</v>
      </c>
      <c r="B95" s="372">
        <v>0</v>
      </c>
      <c r="C95" s="726"/>
      <c r="D95" s="734"/>
      <c r="E95" s="372">
        <v>0</v>
      </c>
      <c r="F95" s="726"/>
      <c r="G95" s="734"/>
      <c r="K95" s="339"/>
      <c r="L95" s="339"/>
    </row>
    <row r="96" spans="1:12" x14ac:dyDescent="0.3">
      <c r="A96" s="377"/>
      <c r="B96" s="377"/>
      <c r="C96" s="728"/>
      <c r="D96" s="736"/>
      <c r="E96" s="377"/>
      <c r="F96" s="728"/>
      <c r="G96" s="736"/>
      <c r="K96" s="339"/>
      <c r="L96" s="339"/>
    </row>
    <row r="97" spans="1:12" x14ac:dyDescent="0.3">
      <c r="C97" s="339"/>
      <c r="D97" s="339"/>
      <c r="F97" s="339"/>
      <c r="G97" s="339"/>
      <c r="K97" s="339"/>
      <c r="L97" s="339"/>
    </row>
    <row r="98" spans="1:12" x14ac:dyDescent="0.3">
      <c r="C98" s="339"/>
      <c r="D98" s="339"/>
      <c r="F98" s="339"/>
      <c r="G98" s="339"/>
      <c r="K98" s="339"/>
      <c r="L98" s="339"/>
    </row>
    <row r="99" spans="1:12" x14ac:dyDescent="0.3">
      <c r="C99" s="339"/>
      <c r="D99" s="339"/>
      <c r="F99" s="339"/>
      <c r="G99" s="339"/>
      <c r="K99" s="339"/>
      <c r="L99" s="339"/>
    </row>
    <row r="100" spans="1:12" x14ac:dyDescent="0.3">
      <c r="C100" s="339"/>
      <c r="D100" s="339"/>
      <c r="F100" s="339"/>
      <c r="G100" s="339"/>
      <c r="K100" s="339"/>
      <c r="L100" s="339"/>
    </row>
    <row r="101" spans="1:12" x14ac:dyDescent="0.3">
      <c r="C101" s="339"/>
      <c r="D101" s="339"/>
      <c r="F101" s="339"/>
      <c r="G101" s="339"/>
      <c r="K101" s="339"/>
      <c r="L101" s="339"/>
    </row>
    <row r="102" spans="1:12" x14ac:dyDescent="0.3">
      <c r="C102" s="339"/>
      <c r="D102" s="339"/>
      <c r="F102" s="339"/>
      <c r="G102" s="339"/>
      <c r="K102" s="339"/>
      <c r="L102" s="339"/>
    </row>
    <row r="103" spans="1:12" x14ac:dyDescent="0.3">
      <c r="C103" s="339"/>
      <c r="D103" s="339"/>
      <c r="F103" s="339"/>
      <c r="G103" s="339"/>
      <c r="K103" s="339"/>
      <c r="L103" s="339"/>
    </row>
    <row r="104" spans="1:12" x14ac:dyDescent="0.3">
      <c r="C104" s="339"/>
      <c r="D104" s="339"/>
      <c r="F104" s="339"/>
      <c r="G104" s="339"/>
      <c r="K104" s="339"/>
      <c r="L104" s="339"/>
    </row>
    <row r="105" spans="1:12" x14ac:dyDescent="0.3">
      <c r="C105" s="339"/>
      <c r="D105" s="339"/>
      <c r="F105" s="339"/>
      <c r="G105" s="339"/>
      <c r="K105" s="339"/>
      <c r="L105" s="339"/>
    </row>
    <row r="106" spans="1:12" x14ac:dyDescent="0.3">
      <c r="C106" s="339"/>
      <c r="D106" s="339"/>
      <c r="F106" s="339"/>
      <c r="G106" s="339"/>
      <c r="K106" s="339"/>
      <c r="L106" s="339"/>
    </row>
    <row r="107" spans="1:12" x14ac:dyDescent="0.3">
      <c r="C107" s="339"/>
      <c r="D107" s="339"/>
      <c r="F107" s="339"/>
      <c r="G107" s="339"/>
      <c r="K107" s="339"/>
      <c r="L107" s="339"/>
    </row>
    <row r="108" spans="1:12" x14ac:dyDescent="0.3">
      <c r="C108" s="339"/>
      <c r="D108" s="339"/>
      <c r="F108" s="339"/>
      <c r="G108" s="339"/>
      <c r="K108" s="339"/>
      <c r="L108" s="339"/>
    </row>
    <row r="109" spans="1:12" x14ac:dyDescent="0.3">
      <c r="C109" s="339"/>
      <c r="D109" s="339"/>
      <c r="F109" s="339"/>
      <c r="G109" s="339"/>
      <c r="K109" s="339"/>
      <c r="L109" s="339"/>
    </row>
    <row r="110" spans="1:12" x14ac:dyDescent="0.3">
      <c r="C110" s="339"/>
      <c r="D110" s="339"/>
      <c r="F110" s="339"/>
      <c r="G110" s="339"/>
      <c r="K110" s="339"/>
      <c r="L110" s="339"/>
    </row>
    <row r="111" spans="1:12" x14ac:dyDescent="0.3">
      <c r="A111" s="3516" t="s">
        <v>0</v>
      </c>
      <c r="B111" s="3520" t="s">
        <v>4</v>
      </c>
      <c r="C111" s="3520"/>
      <c r="D111" s="3520"/>
      <c r="E111" s="3520" t="s">
        <v>20</v>
      </c>
      <c r="F111" s="3520"/>
      <c r="G111" s="3520"/>
      <c r="K111" s="339"/>
      <c r="L111" s="339"/>
    </row>
    <row r="112" spans="1:12" x14ac:dyDescent="0.3">
      <c r="A112" s="3517"/>
      <c r="B112" s="380" t="s">
        <v>28</v>
      </c>
      <c r="C112" s="723" t="s">
        <v>34</v>
      </c>
      <c r="D112" s="731" t="s">
        <v>62</v>
      </c>
      <c r="E112" s="380" t="s">
        <v>28</v>
      </c>
      <c r="F112" s="723" t="s">
        <v>34</v>
      </c>
      <c r="G112" s="731" t="s">
        <v>62</v>
      </c>
      <c r="K112" s="339"/>
      <c r="L112" s="339"/>
    </row>
    <row r="113" spans="1:12" ht="19.5" thickBot="1" x14ac:dyDescent="0.35">
      <c r="A113" s="525" t="s">
        <v>28</v>
      </c>
      <c r="B113" s="367">
        <v>0</v>
      </c>
      <c r="C113" s="724">
        <v>0</v>
      </c>
      <c r="D113" s="732">
        <v>0</v>
      </c>
      <c r="E113" s="367">
        <v>0</v>
      </c>
      <c r="F113" s="724">
        <v>0</v>
      </c>
      <c r="G113" s="732">
        <v>0</v>
      </c>
      <c r="K113" s="339"/>
      <c r="L113" s="339"/>
    </row>
    <row r="114" spans="1:12" ht="19.5" thickTop="1" x14ac:dyDescent="0.3">
      <c r="A114" s="369" t="s">
        <v>7</v>
      </c>
      <c r="B114" s="370">
        <v>0</v>
      </c>
      <c r="C114" s="725">
        <v>0</v>
      </c>
      <c r="D114" s="733">
        <v>0</v>
      </c>
      <c r="E114" s="370">
        <v>0</v>
      </c>
      <c r="F114" s="725">
        <v>0</v>
      </c>
      <c r="G114" s="733">
        <v>0</v>
      </c>
      <c r="K114" s="339"/>
      <c r="L114" s="339"/>
    </row>
    <row r="115" spans="1:12" x14ac:dyDescent="0.3">
      <c r="A115" s="398" t="s">
        <v>8</v>
      </c>
      <c r="B115" s="372">
        <v>0</v>
      </c>
      <c r="C115" s="726"/>
      <c r="D115" s="734"/>
      <c r="E115" s="372">
        <v>0</v>
      </c>
      <c r="F115" s="726"/>
      <c r="G115" s="734"/>
      <c r="K115" s="339"/>
      <c r="L115" s="339"/>
    </row>
    <row r="116" spans="1:12" x14ac:dyDescent="0.3">
      <c r="A116" s="398" t="s">
        <v>306</v>
      </c>
      <c r="B116" s="372">
        <v>0</v>
      </c>
      <c r="C116" s="726"/>
      <c r="D116" s="734"/>
      <c r="E116" s="372">
        <v>0</v>
      </c>
      <c r="F116" s="726"/>
      <c r="G116" s="734"/>
      <c r="K116" s="339"/>
      <c r="L116" s="339"/>
    </row>
    <row r="117" spans="1:12" x14ac:dyDescent="0.3">
      <c r="A117" s="372"/>
      <c r="B117" s="372"/>
      <c r="C117" s="726"/>
      <c r="D117" s="734"/>
      <c r="E117" s="372"/>
      <c r="F117" s="726"/>
      <c r="G117" s="734"/>
      <c r="K117" s="339"/>
      <c r="L117" s="339"/>
    </row>
    <row r="118" spans="1:12" x14ac:dyDescent="0.3">
      <c r="A118" s="526" t="s">
        <v>9</v>
      </c>
      <c r="B118" s="375">
        <v>0</v>
      </c>
      <c r="C118" s="727">
        <v>0</v>
      </c>
      <c r="D118" s="735">
        <v>0</v>
      </c>
      <c r="E118" s="375">
        <v>0</v>
      </c>
      <c r="F118" s="727">
        <v>0</v>
      </c>
      <c r="G118" s="735">
        <v>0</v>
      </c>
      <c r="K118" s="339"/>
      <c r="L118" s="339"/>
    </row>
    <row r="119" spans="1:12" x14ac:dyDescent="0.3">
      <c r="A119" s="372" t="s">
        <v>308</v>
      </c>
      <c r="B119" s="372">
        <v>0</v>
      </c>
      <c r="C119" s="726"/>
      <c r="D119" s="734"/>
      <c r="E119" s="372">
        <v>0</v>
      </c>
      <c r="F119" s="726"/>
      <c r="G119" s="734"/>
      <c r="K119" s="339"/>
      <c r="L119" s="339"/>
    </row>
    <row r="120" spans="1:12" x14ac:dyDescent="0.3">
      <c r="A120" s="372" t="s">
        <v>309</v>
      </c>
      <c r="B120" s="372">
        <v>0</v>
      </c>
      <c r="C120" s="726"/>
      <c r="D120" s="734"/>
      <c r="E120" s="372">
        <v>0</v>
      </c>
      <c r="F120" s="726"/>
      <c r="G120" s="734"/>
      <c r="K120" s="339"/>
      <c r="L120" s="339"/>
    </row>
    <row r="121" spans="1:12" x14ac:dyDescent="0.3">
      <c r="A121" s="372" t="s">
        <v>310</v>
      </c>
      <c r="B121" s="372">
        <v>0</v>
      </c>
      <c r="C121" s="726"/>
      <c r="D121" s="734"/>
      <c r="E121" s="372">
        <v>0</v>
      </c>
      <c r="F121" s="726"/>
      <c r="G121" s="734"/>
      <c r="K121" s="339"/>
      <c r="L121" s="339"/>
    </row>
    <row r="122" spans="1:12" x14ac:dyDescent="0.3">
      <c r="A122" s="372" t="s">
        <v>311</v>
      </c>
      <c r="B122" s="372">
        <v>0</v>
      </c>
      <c r="C122" s="726"/>
      <c r="D122" s="734"/>
      <c r="E122" s="372">
        <v>0</v>
      </c>
      <c r="F122" s="726"/>
      <c r="G122" s="734"/>
      <c r="K122" s="339"/>
      <c r="L122" s="339"/>
    </row>
    <row r="123" spans="1:12" x14ac:dyDescent="0.3">
      <c r="A123" s="372" t="s">
        <v>312</v>
      </c>
      <c r="B123" s="372">
        <v>0</v>
      </c>
      <c r="C123" s="726"/>
      <c r="D123" s="734"/>
      <c r="E123" s="372">
        <v>0</v>
      </c>
      <c r="F123" s="726"/>
      <c r="G123" s="734"/>
      <c r="K123" s="339"/>
      <c r="L123" s="339"/>
    </row>
    <row r="124" spans="1:12" x14ac:dyDescent="0.3">
      <c r="A124" s="372" t="s">
        <v>313</v>
      </c>
      <c r="B124" s="372">
        <v>0</v>
      </c>
      <c r="C124" s="726"/>
      <c r="D124" s="734"/>
      <c r="E124" s="372">
        <v>0</v>
      </c>
      <c r="F124" s="726"/>
      <c r="G124" s="734"/>
      <c r="K124" s="339"/>
      <c r="L124" s="339"/>
    </row>
    <row r="125" spans="1:12" x14ac:dyDescent="0.3">
      <c r="A125" s="372" t="s">
        <v>314</v>
      </c>
      <c r="B125" s="372"/>
      <c r="C125" s="726"/>
      <c r="D125" s="734"/>
      <c r="E125" s="372"/>
      <c r="F125" s="726"/>
      <c r="G125" s="734"/>
      <c r="K125" s="339"/>
      <c r="L125" s="339"/>
    </row>
    <row r="126" spans="1:12" x14ac:dyDescent="0.3">
      <c r="A126" s="372" t="s">
        <v>315</v>
      </c>
      <c r="B126" s="372"/>
      <c r="C126" s="726"/>
      <c r="D126" s="734"/>
      <c r="E126" s="372"/>
      <c r="F126" s="726"/>
      <c r="G126" s="734"/>
      <c r="K126" s="339"/>
      <c r="L126" s="339"/>
    </row>
    <row r="127" spans="1:12" x14ac:dyDescent="0.3">
      <c r="A127" s="372"/>
      <c r="B127" s="372"/>
      <c r="C127" s="726"/>
      <c r="D127" s="734"/>
      <c r="E127" s="372"/>
      <c r="F127" s="726"/>
      <c r="G127" s="734"/>
      <c r="K127" s="339"/>
      <c r="L127" s="339"/>
    </row>
    <row r="128" spans="1:12" x14ac:dyDescent="0.3">
      <c r="A128" s="526" t="s">
        <v>12</v>
      </c>
      <c r="B128" s="375">
        <v>0</v>
      </c>
      <c r="C128" s="727">
        <v>0</v>
      </c>
      <c r="D128" s="735">
        <v>0</v>
      </c>
      <c r="E128" s="375">
        <v>0</v>
      </c>
      <c r="F128" s="727">
        <v>0</v>
      </c>
      <c r="G128" s="735">
        <v>0</v>
      </c>
      <c r="K128" s="339"/>
      <c r="L128" s="339"/>
    </row>
    <row r="129" spans="1:12" x14ac:dyDescent="0.3">
      <c r="A129" s="372" t="s">
        <v>316</v>
      </c>
      <c r="B129" s="372">
        <v>0</v>
      </c>
      <c r="C129" s="726"/>
      <c r="D129" s="734"/>
      <c r="E129" s="372">
        <v>0</v>
      </c>
      <c r="F129" s="726"/>
      <c r="G129" s="734"/>
      <c r="K129" s="339"/>
      <c r="L129" s="339"/>
    </row>
    <row r="130" spans="1:12" x14ac:dyDescent="0.3">
      <c r="A130" s="372" t="s">
        <v>317</v>
      </c>
      <c r="B130" s="372">
        <v>0</v>
      </c>
      <c r="C130" s="726"/>
      <c r="D130" s="734"/>
      <c r="E130" s="372">
        <v>0</v>
      </c>
      <c r="F130" s="726"/>
      <c r="G130" s="734"/>
      <c r="K130" s="339"/>
      <c r="L130" s="339"/>
    </row>
    <row r="131" spans="1:12" x14ac:dyDescent="0.3">
      <c r="A131" s="372" t="s">
        <v>318</v>
      </c>
      <c r="B131" s="372">
        <v>0</v>
      </c>
      <c r="C131" s="726"/>
      <c r="D131" s="734"/>
      <c r="E131" s="372">
        <v>0</v>
      </c>
      <c r="F131" s="726"/>
      <c r="G131" s="734"/>
      <c r="K131" s="339"/>
      <c r="L131" s="339"/>
    </row>
    <row r="132" spans="1:12" x14ac:dyDescent="0.3">
      <c r="A132" s="372" t="s">
        <v>319</v>
      </c>
      <c r="B132" s="372">
        <v>0</v>
      </c>
      <c r="C132" s="729"/>
      <c r="D132" s="734"/>
      <c r="E132" s="372">
        <v>0</v>
      </c>
      <c r="F132" s="726"/>
      <c r="G132" s="734"/>
      <c r="K132" s="339"/>
      <c r="L132" s="339"/>
    </row>
    <row r="133" spans="1:12" x14ac:dyDescent="0.3">
      <c r="A133" s="377"/>
      <c r="B133" s="377"/>
      <c r="C133" s="728"/>
      <c r="D133" s="736"/>
      <c r="E133" s="377"/>
      <c r="F133" s="728"/>
      <c r="G133" s="736"/>
      <c r="K133" s="339"/>
      <c r="L133" s="339"/>
    </row>
    <row r="134" spans="1:12" x14ac:dyDescent="0.3">
      <c r="C134" s="339"/>
      <c r="D134" s="339"/>
      <c r="F134" s="339"/>
      <c r="G134" s="339"/>
      <c r="K134" s="339"/>
      <c r="L134" s="339"/>
    </row>
    <row r="135" spans="1:12" x14ac:dyDescent="0.3">
      <c r="C135" s="339"/>
      <c r="D135" s="339"/>
      <c r="F135" s="339"/>
      <c r="G135" s="339"/>
      <c r="K135" s="339"/>
      <c r="L135" s="339"/>
    </row>
    <row r="136" spans="1:12" x14ac:dyDescent="0.3">
      <c r="C136" s="339"/>
      <c r="D136" s="339"/>
      <c r="F136" s="339"/>
      <c r="G136" s="339"/>
      <c r="K136" s="339"/>
      <c r="L136" s="339"/>
    </row>
    <row r="137" spans="1:12" x14ac:dyDescent="0.3">
      <c r="C137" s="339"/>
      <c r="D137" s="339"/>
      <c r="F137" s="339"/>
      <c r="G137" s="339"/>
      <c r="K137" s="339"/>
      <c r="L137" s="339"/>
    </row>
    <row r="138" spans="1:12" x14ac:dyDescent="0.3">
      <c r="C138" s="339"/>
      <c r="D138" s="339"/>
      <c r="F138" s="339"/>
      <c r="G138" s="339"/>
      <c r="K138" s="339"/>
      <c r="L138" s="339"/>
    </row>
    <row r="139" spans="1:12" x14ac:dyDescent="0.3">
      <c r="C139" s="339"/>
      <c r="D139" s="339"/>
      <c r="F139" s="339"/>
      <c r="G139" s="339"/>
      <c r="K139" s="339"/>
      <c r="L139" s="339"/>
    </row>
    <row r="140" spans="1:12" x14ac:dyDescent="0.3">
      <c r="C140" s="339"/>
      <c r="D140" s="339"/>
      <c r="F140" s="339"/>
      <c r="G140" s="339"/>
      <c r="K140" s="339"/>
      <c r="L140" s="339"/>
    </row>
    <row r="141" spans="1:12" x14ac:dyDescent="0.3">
      <c r="C141" s="339"/>
      <c r="D141" s="339"/>
      <c r="F141" s="339"/>
      <c r="G141" s="339"/>
      <c r="K141" s="339"/>
      <c r="L141" s="339"/>
    </row>
    <row r="142" spans="1:12" x14ac:dyDescent="0.3">
      <c r="C142" s="339"/>
      <c r="D142" s="339"/>
      <c r="F142" s="339"/>
      <c r="G142" s="339"/>
      <c r="K142" s="339"/>
      <c r="L142" s="339"/>
    </row>
    <row r="143" spans="1:12" x14ac:dyDescent="0.3">
      <c r="C143" s="339"/>
      <c r="D143" s="339"/>
      <c r="F143" s="339"/>
      <c r="G143" s="339"/>
      <c r="K143" s="339"/>
      <c r="L143" s="339"/>
    </row>
    <row r="144" spans="1:12" x14ac:dyDescent="0.3">
      <c r="C144" s="339"/>
      <c r="D144" s="339"/>
      <c r="F144" s="339"/>
      <c r="G144" s="339"/>
      <c r="K144" s="339"/>
      <c r="L144" s="339"/>
    </row>
    <row r="145" spans="1:12" x14ac:dyDescent="0.3">
      <c r="C145" s="339"/>
      <c r="D145" s="339"/>
      <c r="F145" s="339"/>
      <c r="G145" s="339"/>
      <c r="K145" s="339"/>
      <c r="L145" s="339"/>
    </row>
    <row r="146" spans="1:12" x14ac:dyDescent="0.3">
      <c r="C146" s="339"/>
      <c r="D146" s="339"/>
      <c r="F146" s="339"/>
      <c r="G146" s="339"/>
      <c r="K146" s="339"/>
      <c r="L146" s="339"/>
    </row>
    <row r="147" spans="1:12" x14ac:dyDescent="0.3">
      <c r="C147" s="339"/>
      <c r="D147" s="339"/>
      <c r="F147" s="339"/>
      <c r="G147" s="339"/>
      <c r="K147" s="339"/>
      <c r="L147" s="339"/>
    </row>
    <row r="148" spans="1:12" x14ac:dyDescent="0.3">
      <c r="A148" s="3516" t="s">
        <v>0</v>
      </c>
      <c r="B148" s="3520" t="s">
        <v>5</v>
      </c>
      <c r="C148" s="3520"/>
      <c r="D148" s="3520"/>
      <c r="E148" s="3520" t="s">
        <v>21</v>
      </c>
      <c r="F148" s="3520"/>
      <c r="G148" s="3520"/>
      <c r="K148" s="339"/>
      <c r="L148" s="339"/>
    </row>
    <row r="149" spans="1:12" x14ac:dyDescent="0.3">
      <c r="A149" s="3517"/>
      <c r="B149" s="380" t="s">
        <v>28</v>
      </c>
      <c r="C149" s="723" t="s">
        <v>34</v>
      </c>
      <c r="D149" s="731" t="s">
        <v>62</v>
      </c>
      <c r="E149" s="380" t="s">
        <v>28</v>
      </c>
      <c r="F149" s="723" t="s">
        <v>34</v>
      </c>
      <c r="G149" s="731" t="s">
        <v>62</v>
      </c>
      <c r="K149" s="339"/>
      <c r="L149" s="339"/>
    </row>
    <row r="150" spans="1:12" ht="19.5" thickBot="1" x14ac:dyDescent="0.35">
      <c r="A150" s="525" t="s">
        <v>28</v>
      </c>
      <c r="B150" s="367">
        <v>0</v>
      </c>
      <c r="C150" s="724">
        <v>0</v>
      </c>
      <c r="D150" s="732">
        <v>0</v>
      </c>
      <c r="E150" s="367">
        <v>0</v>
      </c>
      <c r="F150" s="724">
        <v>0</v>
      </c>
      <c r="G150" s="732">
        <v>0</v>
      </c>
      <c r="K150" s="339"/>
      <c r="L150" s="339"/>
    </row>
    <row r="151" spans="1:12" ht="19.5" thickTop="1" x14ac:dyDescent="0.3">
      <c r="A151" s="369" t="s">
        <v>7</v>
      </c>
      <c r="B151" s="370">
        <v>0</v>
      </c>
      <c r="C151" s="725">
        <v>0</v>
      </c>
      <c r="D151" s="733">
        <v>0</v>
      </c>
      <c r="E151" s="370">
        <v>0</v>
      </c>
      <c r="F151" s="725">
        <v>0</v>
      </c>
      <c r="G151" s="733">
        <v>0</v>
      </c>
      <c r="K151" s="339"/>
      <c r="L151" s="339"/>
    </row>
    <row r="152" spans="1:12" x14ac:dyDescent="0.3">
      <c r="A152" s="398" t="s">
        <v>8</v>
      </c>
      <c r="B152" s="372">
        <v>0</v>
      </c>
      <c r="C152" s="726"/>
      <c r="D152" s="734"/>
      <c r="E152" s="372">
        <v>0</v>
      </c>
      <c r="F152" s="726">
        <v>0</v>
      </c>
      <c r="G152" s="734">
        <v>0</v>
      </c>
      <c r="K152" s="339"/>
      <c r="L152" s="339"/>
    </row>
    <row r="153" spans="1:12" x14ac:dyDescent="0.3">
      <c r="A153" s="398" t="s">
        <v>306</v>
      </c>
      <c r="B153" s="372">
        <v>0</v>
      </c>
      <c r="C153" s="726"/>
      <c r="D153" s="734"/>
      <c r="E153" s="372">
        <v>0</v>
      </c>
      <c r="F153" s="726">
        <v>0</v>
      </c>
      <c r="G153" s="734">
        <v>0</v>
      </c>
      <c r="K153" s="339"/>
      <c r="L153" s="339"/>
    </row>
    <row r="154" spans="1:12" x14ac:dyDescent="0.3">
      <c r="A154" s="372"/>
      <c r="B154" s="372"/>
      <c r="C154" s="726"/>
      <c r="D154" s="734"/>
      <c r="E154" s="372"/>
      <c r="F154" s="726"/>
      <c r="G154" s="734"/>
      <c r="K154" s="339"/>
      <c r="L154" s="339"/>
    </row>
    <row r="155" spans="1:12" x14ac:dyDescent="0.3">
      <c r="A155" s="526" t="s">
        <v>9</v>
      </c>
      <c r="B155" s="527">
        <v>0</v>
      </c>
      <c r="C155" s="727">
        <v>0</v>
      </c>
      <c r="D155" s="738">
        <v>0</v>
      </c>
      <c r="E155" s="375">
        <v>0</v>
      </c>
      <c r="F155" s="727">
        <v>0</v>
      </c>
      <c r="G155" s="735">
        <v>0</v>
      </c>
      <c r="K155" s="339"/>
      <c r="L155" s="339"/>
    </row>
    <row r="156" spans="1:12" x14ac:dyDescent="0.3">
      <c r="A156" s="372" t="s">
        <v>308</v>
      </c>
      <c r="B156" s="381">
        <v>0</v>
      </c>
      <c r="C156" s="726"/>
      <c r="D156" s="739"/>
      <c r="E156" s="372">
        <v>0</v>
      </c>
      <c r="F156" s="726">
        <v>0</v>
      </c>
      <c r="G156" s="734">
        <v>0</v>
      </c>
      <c r="K156" s="339"/>
      <c r="L156" s="339"/>
    </row>
    <row r="157" spans="1:12" x14ac:dyDescent="0.3">
      <c r="A157" s="372" t="s">
        <v>309</v>
      </c>
      <c r="B157" s="372">
        <v>0</v>
      </c>
      <c r="C157" s="726"/>
      <c r="D157" s="734"/>
      <c r="E157" s="372">
        <v>0</v>
      </c>
      <c r="F157" s="726">
        <v>0</v>
      </c>
      <c r="G157" s="734">
        <v>0</v>
      </c>
      <c r="K157" s="339"/>
      <c r="L157" s="339"/>
    </row>
    <row r="158" spans="1:12" x14ac:dyDescent="0.3">
      <c r="A158" s="372" t="s">
        <v>310</v>
      </c>
      <c r="B158" s="372">
        <v>0</v>
      </c>
      <c r="C158" s="726"/>
      <c r="D158" s="734"/>
      <c r="E158" s="372">
        <v>0</v>
      </c>
      <c r="F158" s="726">
        <v>0</v>
      </c>
      <c r="G158" s="734">
        <v>0</v>
      </c>
      <c r="K158" s="339"/>
      <c r="L158" s="339"/>
    </row>
    <row r="159" spans="1:12" x14ac:dyDescent="0.3">
      <c r="A159" s="372" t="s">
        <v>311</v>
      </c>
      <c r="B159" s="372">
        <v>0</v>
      </c>
      <c r="C159" s="726"/>
      <c r="D159" s="734"/>
      <c r="E159" s="372">
        <v>0</v>
      </c>
      <c r="F159" s="726">
        <v>0</v>
      </c>
      <c r="G159" s="734">
        <v>0</v>
      </c>
      <c r="K159" s="339"/>
      <c r="L159" s="339"/>
    </row>
    <row r="160" spans="1:12" x14ac:dyDescent="0.3">
      <c r="A160" s="372" t="s">
        <v>312</v>
      </c>
      <c r="B160" s="372">
        <v>0</v>
      </c>
      <c r="C160" s="726"/>
      <c r="D160" s="734"/>
      <c r="E160" s="372">
        <v>0</v>
      </c>
      <c r="F160" s="726">
        <v>0</v>
      </c>
      <c r="G160" s="734">
        <v>0</v>
      </c>
      <c r="K160" s="339"/>
      <c r="L160" s="339"/>
    </row>
    <row r="161" spans="1:12" x14ac:dyDescent="0.3">
      <c r="A161" s="372" t="s">
        <v>313</v>
      </c>
      <c r="B161" s="372">
        <v>0</v>
      </c>
      <c r="C161" s="726"/>
      <c r="D161" s="734"/>
      <c r="E161" s="372">
        <v>0</v>
      </c>
      <c r="F161" s="726">
        <v>0</v>
      </c>
      <c r="G161" s="734">
        <v>0</v>
      </c>
      <c r="K161" s="339"/>
      <c r="L161" s="339"/>
    </row>
    <row r="162" spans="1:12" x14ac:dyDescent="0.3">
      <c r="A162" s="372" t="s">
        <v>314</v>
      </c>
      <c r="B162" s="372"/>
      <c r="C162" s="726"/>
      <c r="D162" s="734"/>
      <c r="E162" s="372">
        <v>0</v>
      </c>
      <c r="F162" s="726">
        <v>0</v>
      </c>
      <c r="G162" s="734">
        <v>0</v>
      </c>
      <c r="K162" s="339"/>
      <c r="L162" s="339"/>
    </row>
    <row r="163" spans="1:12" x14ac:dyDescent="0.3">
      <c r="A163" s="372" t="s">
        <v>315</v>
      </c>
      <c r="B163" s="372"/>
      <c r="C163" s="726"/>
      <c r="D163" s="734"/>
      <c r="E163" s="372">
        <v>0</v>
      </c>
      <c r="F163" s="726">
        <v>0</v>
      </c>
      <c r="G163" s="734">
        <v>0</v>
      </c>
      <c r="K163" s="339"/>
      <c r="L163" s="339"/>
    </row>
    <row r="164" spans="1:12" x14ac:dyDescent="0.3">
      <c r="A164" s="372" t="s">
        <v>390</v>
      </c>
      <c r="B164" s="372"/>
      <c r="C164" s="726"/>
      <c r="D164" s="734"/>
      <c r="E164" s="372"/>
      <c r="F164" s="726">
        <v>0</v>
      </c>
      <c r="G164" s="734">
        <v>0</v>
      </c>
      <c r="K164" s="339"/>
      <c r="L164" s="339"/>
    </row>
    <row r="165" spans="1:12" x14ac:dyDescent="0.3">
      <c r="A165" s="526" t="s">
        <v>12</v>
      </c>
      <c r="B165" s="375">
        <v>0</v>
      </c>
      <c r="C165" s="727">
        <v>0</v>
      </c>
      <c r="D165" s="735">
        <v>0</v>
      </c>
      <c r="E165" s="375">
        <v>0</v>
      </c>
      <c r="F165" s="727">
        <v>0</v>
      </c>
      <c r="G165" s="735">
        <v>0</v>
      </c>
      <c r="K165" s="339"/>
      <c r="L165" s="339"/>
    </row>
    <row r="166" spans="1:12" x14ac:dyDescent="0.3">
      <c r="A166" s="372" t="s">
        <v>391</v>
      </c>
      <c r="B166" s="372">
        <v>0</v>
      </c>
      <c r="C166" s="726"/>
      <c r="D166" s="734"/>
      <c r="E166" s="372">
        <v>0</v>
      </c>
      <c r="F166" s="726">
        <v>0</v>
      </c>
      <c r="G166" s="734">
        <v>0</v>
      </c>
      <c r="K166" s="339"/>
      <c r="L166" s="339"/>
    </row>
    <row r="167" spans="1:12" x14ac:dyDescent="0.3">
      <c r="A167" s="372" t="s">
        <v>392</v>
      </c>
      <c r="B167" s="372">
        <v>0</v>
      </c>
      <c r="C167" s="726"/>
      <c r="D167" s="734"/>
      <c r="E167" s="372">
        <v>0</v>
      </c>
      <c r="F167" s="726">
        <v>0</v>
      </c>
      <c r="G167" s="734">
        <v>0</v>
      </c>
      <c r="K167" s="339"/>
      <c r="L167" s="339"/>
    </row>
    <row r="168" spans="1:12" x14ac:dyDescent="0.3">
      <c r="A168" s="372" t="s">
        <v>393</v>
      </c>
      <c r="B168" s="372">
        <v>0</v>
      </c>
      <c r="C168" s="726"/>
      <c r="D168" s="734"/>
      <c r="E168" s="372">
        <v>0</v>
      </c>
      <c r="F168" s="726">
        <v>0</v>
      </c>
      <c r="G168" s="734">
        <v>0</v>
      </c>
      <c r="K168" s="339"/>
      <c r="L168" s="339"/>
    </row>
    <row r="169" spans="1:12" x14ac:dyDescent="0.3">
      <c r="A169" s="372" t="s">
        <v>394</v>
      </c>
      <c r="B169" s="372">
        <v>0</v>
      </c>
      <c r="C169" s="726"/>
      <c r="D169" s="734"/>
      <c r="E169" s="372">
        <v>0</v>
      </c>
      <c r="F169" s="726">
        <v>0</v>
      </c>
      <c r="G169" s="734">
        <v>0</v>
      </c>
      <c r="K169" s="339"/>
      <c r="L169" s="339"/>
    </row>
    <row r="170" spans="1:12" x14ac:dyDescent="0.3">
      <c r="A170" s="377"/>
      <c r="B170" s="377"/>
      <c r="C170" s="728"/>
      <c r="D170" s="736"/>
      <c r="E170" s="377"/>
      <c r="F170" s="728"/>
      <c r="G170" s="736"/>
      <c r="K170" s="339"/>
      <c r="L170" s="339"/>
    </row>
    <row r="171" spans="1:12" x14ac:dyDescent="0.3">
      <c r="A171" s="339" t="e">
        <v>#REF!</v>
      </c>
      <c r="C171" s="339"/>
      <c r="D171" s="339"/>
      <c r="F171" s="339"/>
      <c r="G171" s="339"/>
      <c r="K171" s="339"/>
      <c r="L171" s="339"/>
    </row>
    <row r="172" spans="1:12" x14ac:dyDescent="0.3">
      <c r="C172" s="339"/>
      <c r="D172" s="339"/>
      <c r="F172" s="339"/>
      <c r="G172" s="339"/>
      <c r="K172" s="339"/>
      <c r="L172" s="339"/>
    </row>
    <row r="173" spans="1:12" x14ac:dyDescent="0.3">
      <c r="C173" s="339"/>
      <c r="D173" s="339"/>
      <c r="F173" s="339"/>
      <c r="G173" s="339"/>
      <c r="K173" s="339"/>
      <c r="L173" s="339"/>
    </row>
    <row r="174" spans="1:12" x14ac:dyDescent="0.3">
      <c r="C174" s="339"/>
      <c r="D174" s="339"/>
      <c r="F174" s="339"/>
      <c r="G174" s="339"/>
      <c r="K174" s="339"/>
      <c r="L174" s="339"/>
    </row>
    <row r="175" spans="1:12" x14ac:dyDescent="0.3">
      <c r="C175" s="339"/>
      <c r="D175" s="339"/>
      <c r="F175" s="339"/>
      <c r="G175" s="339"/>
      <c r="K175" s="339"/>
      <c r="L175" s="339"/>
    </row>
    <row r="176" spans="1:12" x14ac:dyDescent="0.3">
      <c r="C176" s="339"/>
      <c r="D176" s="339"/>
      <c r="F176" s="339"/>
      <c r="G176" s="339"/>
      <c r="K176" s="339"/>
      <c r="L176" s="339"/>
    </row>
    <row r="177" spans="14:15" s="339" customFormat="1" x14ac:dyDescent="0.3">
      <c r="N177" s="548"/>
      <c r="O177" s="548"/>
    </row>
    <row r="178" spans="14:15" s="339" customFormat="1" x14ac:dyDescent="0.3">
      <c r="N178" s="548"/>
      <c r="O178" s="548"/>
    </row>
    <row r="179" spans="14:15" s="339" customFormat="1" x14ac:dyDescent="0.3">
      <c r="N179" s="548"/>
      <c r="O179" s="548"/>
    </row>
    <row r="180" spans="14:15" s="339" customFormat="1" x14ac:dyDescent="0.3">
      <c r="N180" s="548"/>
      <c r="O180" s="548"/>
    </row>
    <row r="181" spans="14:15" s="339" customFormat="1" x14ac:dyDescent="0.3">
      <c r="N181" s="548"/>
      <c r="O181" s="548"/>
    </row>
    <row r="182" spans="14:15" s="339" customFormat="1" x14ac:dyDescent="0.3">
      <c r="N182" s="548"/>
      <c r="O182" s="548"/>
    </row>
    <row r="183" spans="14:15" s="339" customFormat="1" x14ac:dyDescent="0.3">
      <c r="N183" s="548"/>
      <c r="O183" s="548"/>
    </row>
    <row r="184" spans="14:15" s="339" customFormat="1" x14ac:dyDescent="0.3">
      <c r="N184" s="548"/>
      <c r="O184" s="548"/>
    </row>
    <row r="185" spans="14:15" s="339" customFormat="1" x14ac:dyDescent="0.3">
      <c r="N185" s="548"/>
      <c r="O185" s="548"/>
    </row>
    <row r="186" spans="14:15" s="339" customFormat="1" x14ac:dyDescent="0.3">
      <c r="N186" s="548"/>
      <c r="O186" s="548"/>
    </row>
    <row r="187" spans="14:15" s="339" customFormat="1" x14ac:dyDescent="0.3">
      <c r="N187" s="548"/>
      <c r="O187" s="548"/>
    </row>
    <row r="188" spans="14:15" s="339" customFormat="1" x14ac:dyDescent="0.3">
      <c r="N188" s="548"/>
      <c r="O188" s="548"/>
    </row>
    <row r="189" spans="14:15" s="339" customFormat="1" x14ac:dyDescent="0.3">
      <c r="N189" s="548"/>
      <c r="O189" s="548"/>
    </row>
    <row r="190" spans="14:15" s="339" customFormat="1" x14ac:dyDescent="0.3">
      <c r="N190" s="548"/>
      <c r="O190" s="548"/>
    </row>
    <row r="191" spans="14:15" s="339" customFormat="1" x14ac:dyDescent="0.3">
      <c r="N191" s="548"/>
      <c r="O191" s="548"/>
    </row>
    <row r="192" spans="14:15" s="339" customFormat="1" x14ac:dyDescent="0.3">
      <c r="N192" s="548"/>
      <c r="O192" s="548"/>
    </row>
    <row r="193" spans="14:15" s="339" customFormat="1" x14ac:dyDescent="0.3">
      <c r="N193" s="548"/>
      <c r="O193" s="548"/>
    </row>
    <row r="194" spans="14:15" s="339" customFormat="1" x14ac:dyDescent="0.3">
      <c r="N194" s="548"/>
      <c r="O194" s="548"/>
    </row>
    <row r="195" spans="14:15" s="339" customFormat="1" x14ac:dyDescent="0.3">
      <c r="N195" s="548"/>
      <c r="O195" s="548"/>
    </row>
    <row r="196" spans="14:15" s="339" customFormat="1" x14ac:dyDescent="0.3">
      <c r="N196" s="548"/>
      <c r="O196" s="548"/>
    </row>
    <row r="197" spans="14:15" s="339" customFormat="1" x14ac:dyDescent="0.3">
      <c r="N197" s="548"/>
      <c r="O197" s="548"/>
    </row>
    <row r="198" spans="14:15" s="339" customFormat="1" x14ac:dyDescent="0.3">
      <c r="N198" s="548"/>
      <c r="O198" s="548"/>
    </row>
    <row r="199" spans="14:15" s="339" customFormat="1" x14ac:dyDescent="0.3">
      <c r="N199" s="548"/>
      <c r="O199" s="548"/>
    </row>
    <row r="200" spans="14:15" s="339" customFormat="1" x14ac:dyDescent="0.3">
      <c r="N200" s="548"/>
      <c r="O200" s="548"/>
    </row>
    <row r="201" spans="14:15" s="339" customFormat="1" x14ac:dyDescent="0.3">
      <c r="N201" s="548"/>
      <c r="O201" s="548"/>
    </row>
    <row r="202" spans="14:15" s="339" customFormat="1" x14ac:dyDescent="0.3">
      <c r="N202" s="548"/>
      <c r="O202" s="548"/>
    </row>
    <row r="203" spans="14:15" s="339" customFormat="1" x14ac:dyDescent="0.3">
      <c r="N203" s="548"/>
      <c r="O203" s="548"/>
    </row>
    <row r="204" spans="14:15" s="339" customFormat="1" x14ac:dyDescent="0.3">
      <c r="N204" s="548"/>
      <c r="O204" s="548"/>
    </row>
    <row r="205" spans="14:15" s="339" customFormat="1" x14ac:dyDescent="0.3">
      <c r="N205" s="548"/>
      <c r="O205" s="548"/>
    </row>
    <row r="206" spans="14:15" s="339" customFormat="1" x14ac:dyDescent="0.3">
      <c r="N206" s="548"/>
      <c r="O206" s="548"/>
    </row>
    <row r="207" spans="14:15" s="339" customFormat="1" x14ac:dyDescent="0.3">
      <c r="N207" s="548"/>
      <c r="O207" s="548"/>
    </row>
    <row r="208" spans="14:15" s="339" customFormat="1" x14ac:dyDescent="0.3">
      <c r="N208" s="548"/>
      <c r="O208" s="548"/>
    </row>
    <row r="209" spans="14:15" s="339" customFormat="1" x14ac:dyDescent="0.3">
      <c r="N209" s="548"/>
      <c r="O209" s="548"/>
    </row>
    <row r="210" spans="14:15" s="339" customFormat="1" x14ac:dyDescent="0.3">
      <c r="N210" s="548"/>
      <c r="O210" s="548"/>
    </row>
    <row r="211" spans="14:15" s="339" customFormat="1" x14ac:dyDescent="0.3">
      <c r="N211" s="548"/>
      <c r="O211" s="548"/>
    </row>
    <row r="212" spans="14:15" s="339" customFormat="1" x14ac:dyDescent="0.3">
      <c r="N212" s="548"/>
      <c r="O212" s="548"/>
    </row>
    <row r="213" spans="14:15" s="339" customFormat="1" x14ac:dyDescent="0.3">
      <c r="N213" s="548"/>
      <c r="O213" s="548"/>
    </row>
    <row r="214" spans="14:15" s="339" customFormat="1" x14ac:dyDescent="0.3">
      <c r="N214" s="548"/>
      <c r="O214" s="548"/>
    </row>
    <row r="215" spans="14:15" s="339" customFormat="1" x14ac:dyDescent="0.3">
      <c r="N215" s="548"/>
      <c r="O215" s="548"/>
    </row>
    <row r="216" spans="14:15" s="339" customFormat="1" x14ac:dyDescent="0.3">
      <c r="N216" s="548"/>
      <c r="O216" s="548"/>
    </row>
    <row r="217" spans="14:15" s="339" customFormat="1" x14ac:dyDescent="0.3">
      <c r="N217" s="548"/>
      <c r="O217" s="548"/>
    </row>
    <row r="218" spans="14:15" s="339" customFormat="1" x14ac:dyDescent="0.3">
      <c r="N218" s="548"/>
      <c r="O218" s="548"/>
    </row>
    <row r="219" spans="14:15" s="339" customFormat="1" x14ac:dyDescent="0.3">
      <c r="N219" s="548"/>
      <c r="O219" s="548"/>
    </row>
    <row r="220" spans="14:15" s="339" customFormat="1" x14ac:dyDescent="0.3">
      <c r="N220" s="548"/>
      <c r="O220" s="548"/>
    </row>
    <row r="221" spans="14:15" s="339" customFormat="1" x14ac:dyDescent="0.3">
      <c r="N221" s="548"/>
      <c r="O221" s="548"/>
    </row>
    <row r="222" spans="14:15" s="339" customFormat="1" x14ac:dyDescent="0.3">
      <c r="N222" s="548"/>
      <c r="O222" s="548"/>
    </row>
    <row r="223" spans="14:15" s="339" customFormat="1" x14ac:dyDescent="0.3">
      <c r="N223" s="548"/>
      <c r="O223" s="548"/>
    </row>
    <row r="224" spans="14:15" s="339" customFormat="1" x14ac:dyDescent="0.3">
      <c r="N224" s="548"/>
      <c r="O224" s="548"/>
    </row>
    <row r="225" spans="14:15" s="339" customFormat="1" x14ac:dyDescent="0.3">
      <c r="N225" s="548"/>
      <c r="O225" s="548"/>
    </row>
    <row r="226" spans="14:15" s="339" customFormat="1" x14ac:dyDescent="0.3">
      <c r="N226" s="548"/>
      <c r="O226" s="548"/>
    </row>
    <row r="227" spans="14:15" s="339" customFormat="1" x14ac:dyDescent="0.3">
      <c r="N227" s="548"/>
      <c r="O227" s="548"/>
    </row>
    <row r="228" spans="14:15" s="339" customFormat="1" x14ac:dyDescent="0.3">
      <c r="N228" s="548"/>
      <c r="O228" s="548"/>
    </row>
    <row r="229" spans="14:15" s="339" customFormat="1" x14ac:dyDescent="0.3">
      <c r="N229" s="548"/>
      <c r="O229" s="548"/>
    </row>
    <row r="230" spans="14:15" s="339" customFormat="1" x14ac:dyDescent="0.3">
      <c r="N230" s="548"/>
      <c r="O230" s="548"/>
    </row>
    <row r="231" spans="14:15" s="339" customFormat="1" x14ac:dyDescent="0.3">
      <c r="N231" s="548"/>
      <c r="O231" s="548"/>
    </row>
    <row r="232" spans="14:15" s="339" customFormat="1" x14ac:dyDescent="0.3">
      <c r="N232" s="548"/>
      <c r="O232" s="548"/>
    </row>
    <row r="233" spans="14:15" s="339" customFormat="1" x14ac:dyDescent="0.3">
      <c r="N233" s="548"/>
      <c r="O233" s="548"/>
    </row>
    <row r="234" spans="14:15" s="339" customFormat="1" x14ac:dyDescent="0.3">
      <c r="N234" s="548"/>
      <c r="O234" s="548"/>
    </row>
    <row r="235" spans="14:15" s="339" customFormat="1" x14ac:dyDescent="0.3">
      <c r="N235" s="548"/>
      <c r="O235" s="548"/>
    </row>
    <row r="236" spans="14:15" s="339" customFormat="1" x14ac:dyDescent="0.3">
      <c r="N236" s="548"/>
      <c r="O236" s="548"/>
    </row>
    <row r="237" spans="14:15" s="339" customFormat="1" x14ac:dyDescent="0.3">
      <c r="N237" s="548"/>
      <c r="O237" s="548"/>
    </row>
    <row r="238" spans="14:15" s="339" customFormat="1" x14ac:dyDescent="0.3">
      <c r="N238" s="548"/>
      <c r="O238" s="548"/>
    </row>
    <row r="239" spans="14:15" s="339" customFormat="1" x14ac:dyDescent="0.3">
      <c r="N239" s="548"/>
      <c r="O239" s="548"/>
    </row>
    <row r="240" spans="14:15" s="339" customFormat="1" x14ac:dyDescent="0.3">
      <c r="N240" s="548"/>
      <c r="O240" s="548"/>
    </row>
    <row r="241" spans="14:15" s="339" customFormat="1" x14ac:dyDescent="0.3">
      <c r="N241" s="548"/>
      <c r="O241" s="548"/>
    </row>
    <row r="242" spans="14:15" s="339" customFormat="1" x14ac:dyDescent="0.3">
      <c r="N242" s="548"/>
      <c r="O242" s="548"/>
    </row>
    <row r="243" spans="14:15" s="339" customFormat="1" x14ac:dyDescent="0.3">
      <c r="N243" s="548"/>
      <c r="O243" s="548"/>
    </row>
    <row r="244" spans="14:15" s="339" customFormat="1" x14ac:dyDescent="0.3">
      <c r="N244" s="548"/>
      <c r="O244" s="548"/>
    </row>
    <row r="245" spans="14:15" s="339" customFormat="1" x14ac:dyDescent="0.3">
      <c r="N245" s="548"/>
      <c r="O245" s="548"/>
    </row>
    <row r="246" spans="14:15" s="339" customFormat="1" x14ac:dyDescent="0.3">
      <c r="N246" s="548"/>
      <c r="O246" s="548"/>
    </row>
    <row r="247" spans="14:15" s="339" customFormat="1" x14ac:dyDescent="0.3">
      <c r="N247" s="548"/>
      <c r="O247" s="548"/>
    </row>
    <row r="248" spans="14:15" s="339" customFormat="1" x14ac:dyDescent="0.3">
      <c r="N248" s="548"/>
      <c r="O248" s="548"/>
    </row>
    <row r="249" spans="14:15" s="339" customFormat="1" x14ac:dyDescent="0.3">
      <c r="N249" s="548"/>
      <c r="O249" s="548"/>
    </row>
    <row r="250" spans="14:15" s="339" customFormat="1" x14ac:dyDescent="0.3">
      <c r="N250" s="548"/>
      <c r="O250" s="548"/>
    </row>
    <row r="251" spans="14:15" s="339" customFormat="1" x14ac:dyDescent="0.3">
      <c r="N251" s="548"/>
      <c r="O251" s="548"/>
    </row>
    <row r="252" spans="14:15" s="339" customFormat="1" x14ac:dyDescent="0.3">
      <c r="N252" s="548"/>
      <c r="O252" s="548"/>
    </row>
    <row r="253" spans="14:15" s="339" customFormat="1" x14ac:dyDescent="0.3">
      <c r="N253" s="548"/>
      <c r="O253" s="548"/>
    </row>
    <row r="254" spans="14:15" s="339" customFormat="1" x14ac:dyDescent="0.3">
      <c r="N254" s="548"/>
      <c r="O254" s="548"/>
    </row>
    <row r="255" spans="14:15" s="339" customFormat="1" x14ac:dyDescent="0.3">
      <c r="N255" s="548"/>
      <c r="O255" s="548"/>
    </row>
    <row r="256" spans="14:15" s="339" customFormat="1" x14ac:dyDescent="0.3">
      <c r="N256" s="548"/>
      <c r="O256" s="548"/>
    </row>
    <row r="257" spans="14:15" s="339" customFormat="1" x14ac:dyDescent="0.3">
      <c r="N257" s="548"/>
      <c r="O257" s="548"/>
    </row>
    <row r="258" spans="14:15" s="339" customFormat="1" x14ac:dyDescent="0.3">
      <c r="N258" s="548"/>
      <c r="O258" s="548"/>
    </row>
    <row r="259" spans="14:15" s="339" customFormat="1" x14ac:dyDescent="0.3">
      <c r="N259" s="548"/>
      <c r="O259" s="548"/>
    </row>
    <row r="260" spans="14:15" s="339" customFormat="1" x14ac:dyDescent="0.3">
      <c r="N260" s="548"/>
      <c r="O260" s="548"/>
    </row>
    <row r="261" spans="14:15" s="339" customFormat="1" x14ac:dyDescent="0.3">
      <c r="N261" s="548"/>
      <c r="O261" s="548"/>
    </row>
    <row r="262" spans="14:15" s="339" customFormat="1" x14ac:dyDescent="0.3">
      <c r="N262" s="548"/>
      <c r="O262" s="548"/>
    </row>
    <row r="263" spans="14:15" s="339" customFormat="1" x14ac:dyDescent="0.3">
      <c r="N263" s="548"/>
      <c r="O263" s="548"/>
    </row>
    <row r="264" spans="14:15" s="339" customFormat="1" x14ac:dyDescent="0.3">
      <c r="N264" s="548"/>
      <c r="O264" s="548"/>
    </row>
    <row r="265" spans="14:15" s="339" customFormat="1" x14ac:dyDescent="0.3">
      <c r="N265" s="548"/>
      <c r="O265" s="548"/>
    </row>
    <row r="266" spans="14:15" s="339" customFormat="1" x14ac:dyDescent="0.3">
      <c r="N266" s="548"/>
      <c r="O266" s="548"/>
    </row>
    <row r="267" spans="14:15" s="339" customFormat="1" x14ac:dyDescent="0.3">
      <c r="N267" s="548"/>
      <c r="O267" s="548"/>
    </row>
    <row r="268" spans="14:15" s="339" customFormat="1" x14ac:dyDescent="0.3">
      <c r="N268" s="548"/>
      <c r="O268" s="548"/>
    </row>
    <row r="269" spans="14:15" s="339" customFormat="1" x14ac:dyDescent="0.3">
      <c r="N269" s="548"/>
      <c r="O269" s="548"/>
    </row>
    <row r="270" spans="14:15" s="339" customFormat="1" x14ac:dyDescent="0.3">
      <c r="N270" s="548"/>
      <c r="O270" s="548"/>
    </row>
    <row r="271" spans="14:15" s="339" customFormat="1" x14ac:dyDescent="0.3">
      <c r="N271" s="548"/>
      <c r="O271" s="548"/>
    </row>
    <row r="272" spans="14:15" s="339" customFormat="1" x14ac:dyDescent="0.3">
      <c r="N272" s="548"/>
      <c r="O272" s="548"/>
    </row>
    <row r="273" spans="14:15" s="339" customFormat="1" x14ac:dyDescent="0.3">
      <c r="N273" s="548"/>
      <c r="O273" s="548"/>
    </row>
    <row r="274" spans="14:15" s="339" customFormat="1" x14ac:dyDescent="0.3">
      <c r="N274" s="548"/>
      <c r="O274" s="548"/>
    </row>
    <row r="275" spans="14:15" s="339" customFormat="1" x14ac:dyDescent="0.3">
      <c r="N275" s="548"/>
      <c r="O275" s="548"/>
    </row>
    <row r="276" spans="14:15" s="339" customFormat="1" x14ac:dyDescent="0.3">
      <c r="N276" s="548"/>
      <c r="O276" s="548"/>
    </row>
    <row r="277" spans="14:15" s="339" customFormat="1" x14ac:dyDescent="0.3">
      <c r="N277" s="548"/>
      <c r="O277" s="548"/>
    </row>
    <row r="278" spans="14:15" s="339" customFormat="1" x14ac:dyDescent="0.3">
      <c r="N278" s="548"/>
      <c r="O278" s="548"/>
    </row>
    <row r="279" spans="14:15" s="339" customFormat="1" x14ac:dyDescent="0.3">
      <c r="N279" s="548"/>
      <c r="O279" s="548"/>
    </row>
    <row r="280" spans="14:15" s="339" customFormat="1" x14ac:dyDescent="0.3">
      <c r="N280" s="548"/>
      <c r="O280" s="548"/>
    </row>
    <row r="281" spans="14:15" s="339" customFormat="1" x14ac:dyDescent="0.3">
      <c r="N281" s="548"/>
      <c r="O281" s="548"/>
    </row>
    <row r="282" spans="14:15" s="339" customFormat="1" x14ac:dyDescent="0.3">
      <c r="N282" s="548"/>
      <c r="O282" s="548"/>
    </row>
    <row r="283" spans="14:15" s="339" customFormat="1" x14ac:dyDescent="0.3">
      <c r="N283" s="548"/>
      <c r="O283" s="548"/>
    </row>
    <row r="284" spans="14:15" s="339" customFormat="1" x14ac:dyDescent="0.3">
      <c r="N284" s="548"/>
      <c r="O284" s="548"/>
    </row>
    <row r="285" spans="14:15" s="339" customFormat="1" x14ac:dyDescent="0.3">
      <c r="N285" s="548"/>
      <c r="O285" s="548"/>
    </row>
    <row r="286" spans="14:15" s="339" customFormat="1" x14ac:dyDescent="0.3">
      <c r="N286" s="548"/>
      <c r="O286" s="548"/>
    </row>
    <row r="287" spans="14:15" s="339" customFormat="1" x14ac:dyDescent="0.3">
      <c r="N287" s="548"/>
      <c r="O287" s="548"/>
    </row>
    <row r="288" spans="14:15" s="339" customFormat="1" x14ac:dyDescent="0.3">
      <c r="N288" s="548"/>
      <c r="O288" s="548"/>
    </row>
    <row r="289" spans="14:15" s="339" customFormat="1" x14ac:dyDescent="0.3">
      <c r="N289" s="548"/>
      <c r="O289" s="548"/>
    </row>
    <row r="290" spans="14:15" s="339" customFormat="1" x14ac:dyDescent="0.3">
      <c r="N290" s="548"/>
      <c r="O290" s="548"/>
    </row>
    <row r="291" spans="14:15" s="339" customFormat="1" x14ac:dyDescent="0.3">
      <c r="N291" s="548"/>
      <c r="O291" s="548"/>
    </row>
    <row r="292" spans="14:15" s="339" customFormat="1" x14ac:dyDescent="0.3">
      <c r="N292" s="548"/>
      <c r="O292" s="548"/>
    </row>
    <row r="293" spans="14:15" s="339" customFormat="1" x14ac:dyDescent="0.3">
      <c r="N293" s="548"/>
      <c r="O293" s="548"/>
    </row>
    <row r="294" spans="14:15" s="339" customFormat="1" x14ac:dyDescent="0.3">
      <c r="N294" s="548"/>
      <c r="O294" s="548"/>
    </row>
    <row r="295" spans="14:15" s="339" customFormat="1" x14ac:dyDescent="0.3">
      <c r="N295" s="548"/>
      <c r="O295" s="548"/>
    </row>
    <row r="296" spans="14:15" s="339" customFormat="1" x14ac:dyDescent="0.3">
      <c r="N296" s="548"/>
      <c r="O296" s="548"/>
    </row>
    <row r="297" spans="14:15" s="339" customFormat="1" x14ac:dyDescent="0.3">
      <c r="N297" s="548"/>
      <c r="O297" s="548"/>
    </row>
    <row r="298" spans="14:15" s="339" customFormat="1" x14ac:dyDescent="0.3">
      <c r="N298" s="548"/>
      <c r="O298" s="548"/>
    </row>
    <row r="299" spans="14:15" s="339" customFormat="1" x14ac:dyDescent="0.3">
      <c r="N299" s="548"/>
      <c r="O299" s="548"/>
    </row>
    <row r="300" spans="14:15" s="339" customFormat="1" x14ac:dyDescent="0.3">
      <c r="N300" s="548"/>
      <c r="O300" s="548"/>
    </row>
    <row r="301" spans="14:15" s="339" customFormat="1" x14ac:dyDescent="0.3">
      <c r="N301" s="548"/>
      <c r="O301" s="548"/>
    </row>
    <row r="302" spans="14:15" s="339" customFormat="1" x14ac:dyDescent="0.3">
      <c r="N302" s="548"/>
      <c r="O302" s="548"/>
    </row>
    <row r="303" spans="14:15" s="339" customFormat="1" x14ac:dyDescent="0.3">
      <c r="N303" s="548"/>
      <c r="O303" s="548"/>
    </row>
    <row r="304" spans="14:15" s="339" customFormat="1" x14ac:dyDescent="0.3">
      <c r="N304" s="548"/>
      <c r="O304" s="548"/>
    </row>
    <row r="305" spans="14:15" s="339" customFormat="1" x14ac:dyDescent="0.3">
      <c r="N305" s="548"/>
      <c r="O305" s="548"/>
    </row>
    <row r="306" spans="14:15" s="339" customFormat="1" x14ac:dyDescent="0.3">
      <c r="N306" s="548"/>
      <c r="O306" s="548"/>
    </row>
    <row r="307" spans="14:15" s="339" customFormat="1" x14ac:dyDescent="0.3">
      <c r="N307" s="548"/>
      <c r="O307" s="548"/>
    </row>
    <row r="308" spans="14:15" s="339" customFormat="1" x14ac:dyDescent="0.3">
      <c r="N308" s="548"/>
      <c r="O308" s="548"/>
    </row>
    <row r="309" spans="14:15" s="339" customFormat="1" x14ac:dyDescent="0.3">
      <c r="N309" s="548"/>
      <c r="O309" s="548"/>
    </row>
    <row r="310" spans="14:15" s="339" customFormat="1" x14ac:dyDescent="0.3">
      <c r="N310" s="548"/>
      <c r="O310" s="548"/>
    </row>
    <row r="311" spans="14:15" s="339" customFormat="1" x14ac:dyDescent="0.3">
      <c r="N311" s="548"/>
      <c r="O311" s="548"/>
    </row>
    <row r="312" spans="14:15" s="339" customFormat="1" x14ac:dyDescent="0.3">
      <c r="N312" s="548"/>
      <c r="O312" s="548"/>
    </row>
    <row r="313" spans="14:15" s="339" customFormat="1" x14ac:dyDescent="0.3">
      <c r="N313" s="548"/>
      <c r="O313" s="548"/>
    </row>
    <row r="314" spans="14:15" s="339" customFormat="1" x14ac:dyDescent="0.3">
      <c r="N314" s="548"/>
      <c r="O314" s="548"/>
    </row>
    <row r="315" spans="14:15" s="339" customFormat="1" x14ac:dyDescent="0.3">
      <c r="N315" s="548"/>
      <c r="O315" s="548"/>
    </row>
    <row r="316" spans="14:15" s="339" customFormat="1" x14ac:dyDescent="0.3">
      <c r="N316" s="548"/>
      <c r="O316" s="548"/>
    </row>
    <row r="317" spans="14:15" s="339" customFormat="1" x14ac:dyDescent="0.3">
      <c r="N317" s="548"/>
      <c r="O317" s="548"/>
    </row>
    <row r="318" spans="14:15" s="339" customFormat="1" x14ac:dyDescent="0.3">
      <c r="N318" s="548"/>
      <c r="O318" s="548"/>
    </row>
    <row r="319" spans="14:15" s="339" customFormat="1" x14ac:dyDescent="0.3">
      <c r="N319" s="548"/>
      <c r="O319" s="548"/>
    </row>
    <row r="320" spans="14:15" s="339" customFormat="1" x14ac:dyDescent="0.3">
      <c r="N320" s="548"/>
      <c r="O320" s="548"/>
    </row>
    <row r="321" spans="14:15" s="339" customFormat="1" x14ac:dyDescent="0.3">
      <c r="N321" s="548"/>
      <c r="O321" s="548"/>
    </row>
    <row r="322" spans="14:15" s="339" customFormat="1" x14ac:dyDescent="0.3">
      <c r="N322" s="548"/>
      <c r="O322" s="548"/>
    </row>
    <row r="323" spans="14:15" s="339" customFormat="1" x14ac:dyDescent="0.3">
      <c r="N323" s="548"/>
      <c r="O323" s="548"/>
    </row>
    <row r="324" spans="14:15" s="339" customFormat="1" x14ac:dyDescent="0.3">
      <c r="N324" s="548"/>
      <c r="O324" s="548"/>
    </row>
    <row r="325" spans="14:15" s="339" customFormat="1" x14ac:dyDescent="0.3">
      <c r="N325" s="548"/>
      <c r="O325" s="548"/>
    </row>
    <row r="326" spans="14:15" s="339" customFormat="1" x14ac:dyDescent="0.3">
      <c r="N326" s="548"/>
      <c r="O326" s="548"/>
    </row>
    <row r="327" spans="14:15" s="339" customFormat="1" x14ac:dyDescent="0.3">
      <c r="N327" s="548"/>
      <c r="O327" s="548"/>
    </row>
    <row r="328" spans="14:15" s="339" customFormat="1" x14ac:dyDescent="0.3">
      <c r="N328" s="548"/>
      <c r="O328" s="548"/>
    </row>
    <row r="329" spans="14:15" s="339" customFormat="1" x14ac:dyDescent="0.3">
      <c r="N329" s="548"/>
      <c r="O329" s="548"/>
    </row>
    <row r="330" spans="14:15" s="339" customFormat="1" x14ac:dyDescent="0.3">
      <c r="N330" s="548"/>
      <c r="O330" s="548"/>
    </row>
    <row r="331" spans="14:15" s="339" customFormat="1" x14ac:dyDescent="0.3">
      <c r="N331" s="548"/>
      <c r="O331" s="548"/>
    </row>
    <row r="332" spans="14:15" s="339" customFormat="1" x14ac:dyDescent="0.3">
      <c r="N332" s="548"/>
      <c r="O332" s="548"/>
    </row>
    <row r="333" spans="14:15" s="339" customFormat="1" x14ac:dyDescent="0.3">
      <c r="N333" s="548"/>
      <c r="O333" s="548"/>
    </row>
    <row r="334" spans="14:15" s="339" customFormat="1" x14ac:dyDescent="0.3">
      <c r="N334" s="548"/>
      <c r="O334" s="548"/>
    </row>
    <row r="335" spans="14:15" s="339" customFormat="1" x14ac:dyDescent="0.3">
      <c r="N335" s="548"/>
      <c r="O335" s="548"/>
    </row>
    <row r="336" spans="14:15" s="339" customFormat="1" x14ac:dyDescent="0.3">
      <c r="N336" s="548"/>
      <c r="O336" s="548"/>
    </row>
    <row r="337" spans="14:15" s="339" customFormat="1" x14ac:dyDescent="0.3">
      <c r="N337" s="548"/>
      <c r="O337" s="548"/>
    </row>
    <row r="338" spans="14:15" s="339" customFormat="1" x14ac:dyDescent="0.3">
      <c r="N338" s="548"/>
      <c r="O338" s="548"/>
    </row>
    <row r="339" spans="14:15" s="339" customFormat="1" x14ac:dyDescent="0.3">
      <c r="N339" s="548"/>
      <c r="O339" s="548"/>
    </row>
    <row r="340" spans="14:15" s="339" customFormat="1" x14ac:dyDescent="0.3">
      <c r="N340" s="548"/>
      <c r="O340" s="548"/>
    </row>
    <row r="341" spans="14:15" s="339" customFormat="1" x14ac:dyDescent="0.3">
      <c r="N341" s="548"/>
      <c r="O341" s="548"/>
    </row>
    <row r="342" spans="14:15" s="339" customFormat="1" x14ac:dyDescent="0.3">
      <c r="N342" s="548"/>
      <c r="O342" s="548"/>
    </row>
    <row r="343" spans="14:15" s="339" customFormat="1" x14ac:dyDescent="0.3">
      <c r="N343" s="548"/>
      <c r="O343" s="548"/>
    </row>
    <row r="344" spans="14:15" s="339" customFormat="1" x14ac:dyDescent="0.3">
      <c r="N344" s="548"/>
      <c r="O344" s="548"/>
    </row>
    <row r="345" spans="14:15" s="339" customFormat="1" x14ac:dyDescent="0.3">
      <c r="N345" s="548"/>
      <c r="O345" s="548"/>
    </row>
    <row r="346" spans="14:15" s="339" customFormat="1" x14ac:dyDescent="0.3">
      <c r="N346" s="548"/>
      <c r="O346" s="548"/>
    </row>
    <row r="347" spans="14:15" s="339" customFormat="1" x14ac:dyDescent="0.3">
      <c r="N347" s="548"/>
      <c r="O347" s="548"/>
    </row>
    <row r="348" spans="14:15" s="339" customFormat="1" x14ac:dyDescent="0.3">
      <c r="N348" s="548"/>
      <c r="O348" s="548"/>
    </row>
    <row r="349" spans="14:15" s="339" customFormat="1" x14ac:dyDescent="0.3">
      <c r="N349" s="548"/>
      <c r="O349" s="548"/>
    </row>
    <row r="350" spans="14:15" s="339" customFormat="1" x14ac:dyDescent="0.3">
      <c r="N350" s="548"/>
      <c r="O350" s="548"/>
    </row>
    <row r="351" spans="14:15" s="339" customFormat="1" x14ac:dyDescent="0.3">
      <c r="N351" s="548"/>
      <c r="O351" s="548"/>
    </row>
    <row r="352" spans="14:15" s="339" customFormat="1" x14ac:dyDescent="0.3">
      <c r="N352" s="548"/>
      <c r="O352" s="548"/>
    </row>
    <row r="353" spans="14:15" s="339" customFormat="1" x14ac:dyDescent="0.3">
      <c r="N353" s="548"/>
      <c r="O353" s="548"/>
    </row>
    <row r="354" spans="14:15" s="339" customFormat="1" x14ac:dyDescent="0.3">
      <c r="N354" s="548"/>
      <c r="O354" s="548"/>
    </row>
    <row r="355" spans="14:15" s="339" customFormat="1" x14ac:dyDescent="0.3">
      <c r="N355" s="548"/>
      <c r="O355" s="548"/>
    </row>
    <row r="356" spans="14:15" s="339" customFormat="1" x14ac:dyDescent="0.3">
      <c r="N356" s="548"/>
      <c r="O356" s="548"/>
    </row>
    <row r="357" spans="14:15" s="339" customFormat="1" x14ac:dyDescent="0.3">
      <c r="N357" s="548"/>
      <c r="O357" s="548"/>
    </row>
    <row r="358" spans="14:15" s="339" customFormat="1" x14ac:dyDescent="0.3">
      <c r="N358" s="548"/>
      <c r="O358" s="548"/>
    </row>
    <row r="359" spans="14:15" s="339" customFormat="1" x14ac:dyDescent="0.3">
      <c r="N359" s="548"/>
      <c r="O359" s="548"/>
    </row>
    <row r="360" spans="14:15" s="339" customFormat="1" x14ac:dyDescent="0.3">
      <c r="N360" s="548"/>
      <c r="O360" s="548"/>
    </row>
    <row r="361" spans="14:15" s="339" customFormat="1" x14ac:dyDescent="0.3">
      <c r="N361" s="548"/>
      <c r="O361" s="548"/>
    </row>
    <row r="362" spans="14:15" s="339" customFormat="1" x14ac:dyDescent="0.3">
      <c r="N362" s="548"/>
      <c r="O362" s="548"/>
    </row>
    <row r="363" spans="14:15" s="339" customFormat="1" x14ac:dyDescent="0.3">
      <c r="N363" s="548"/>
      <c r="O363" s="548"/>
    </row>
    <row r="364" spans="14:15" s="339" customFormat="1" x14ac:dyDescent="0.3">
      <c r="N364" s="548"/>
      <c r="O364" s="548"/>
    </row>
    <row r="365" spans="14:15" s="339" customFormat="1" x14ac:dyDescent="0.3">
      <c r="N365" s="548"/>
      <c r="O365" s="548"/>
    </row>
    <row r="366" spans="14:15" s="339" customFormat="1" x14ac:dyDescent="0.3">
      <c r="N366" s="548"/>
      <c r="O366" s="548"/>
    </row>
    <row r="367" spans="14:15" s="339" customFormat="1" x14ac:dyDescent="0.3">
      <c r="N367" s="548"/>
      <c r="O367" s="548"/>
    </row>
    <row r="368" spans="14:15" s="339" customFormat="1" x14ac:dyDescent="0.3">
      <c r="N368" s="548"/>
      <c r="O368" s="548"/>
    </row>
    <row r="369" spans="14:15" s="339" customFormat="1" x14ac:dyDescent="0.3">
      <c r="N369" s="548"/>
      <c r="O369" s="548"/>
    </row>
    <row r="370" spans="14:15" s="339" customFormat="1" x14ac:dyDescent="0.3">
      <c r="N370" s="548"/>
      <c r="O370" s="548"/>
    </row>
    <row r="371" spans="14:15" s="339" customFormat="1" x14ac:dyDescent="0.3">
      <c r="N371" s="548"/>
      <c r="O371" s="548"/>
    </row>
    <row r="372" spans="14:15" s="339" customFormat="1" x14ac:dyDescent="0.3">
      <c r="N372" s="548"/>
      <c r="O372" s="548"/>
    </row>
    <row r="373" spans="14:15" s="339" customFormat="1" x14ac:dyDescent="0.3">
      <c r="N373" s="548"/>
      <c r="O373" s="548"/>
    </row>
    <row r="374" spans="14:15" s="339" customFormat="1" x14ac:dyDescent="0.3">
      <c r="N374" s="548"/>
      <c r="O374" s="548"/>
    </row>
    <row r="375" spans="14:15" s="339" customFormat="1" x14ac:dyDescent="0.3">
      <c r="N375" s="548"/>
      <c r="O375" s="548"/>
    </row>
    <row r="376" spans="14:15" s="339" customFormat="1" x14ac:dyDescent="0.3">
      <c r="N376" s="548"/>
      <c r="O376" s="548"/>
    </row>
    <row r="377" spans="14:15" s="339" customFormat="1" x14ac:dyDescent="0.3">
      <c r="N377" s="548"/>
      <c r="O377" s="548"/>
    </row>
    <row r="378" spans="14:15" s="339" customFormat="1" x14ac:dyDescent="0.3">
      <c r="N378" s="548"/>
      <c r="O378" s="548"/>
    </row>
    <row r="379" spans="14:15" s="339" customFormat="1" x14ac:dyDescent="0.3">
      <c r="N379" s="548"/>
      <c r="O379" s="548"/>
    </row>
    <row r="380" spans="14:15" s="339" customFormat="1" x14ac:dyDescent="0.3">
      <c r="N380" s="548"/>
      <c r="O380" s="548"/>
    </row>
    <row r="381" spans="14:15" s="339" customFormat="1" x14ac:dyDescent="0.3">
      <c r="N381" s="548"/>
      <c r="O381" s="548"/>
    </row>
  </sheetData>
  <mergeCells count="17">
    <mergeCell ref="A3:A4"/>
    <mergeCell ref="B3:D3"/>
    <mergeCell ref="E3:G3"/>
    <mergeCell ref="I3:I4"/>
    <mergeCell ref="J3:L3"/>
    <mergeCell ref="A37:A38"/>
    <mergeCell ref="B37:D37"/>
    <mergeCell ref="E37:G37"/>
    <mergeCell ref="A148:A149"/>
    <mergeCell ref="B148:D148"/>
    <mergeCell ref="E148:G148"/>
    <mergeCell ref="A74:A75"/>
    <mergeCell ref="B74:D74"/>
    <mergeCell ref="E74:G74"/>
    <mergeCell ref="A111:A112"/>
    <mergeCell ref="B111:D111"/>
    <mergeCell ref="E111:G11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7030A0"/>
  </sheetPr>
  <dimension ref="A1:T439"/>
  <sheetViews>
    <sheetView workbookViewId="0">
      <selection sqref="A1:XFD1048576"/>
    </sheetView>
  </sheetViews>
  <sheetFormatPr defaultColWidth="9.140625" defaultRowHeight="18.75" x14ac:dyDescent="0.3"/>
  <cols>
    <col min="1" max="1" width="18.140625" style="339" customWidth="1"/>
    <col min="2" max="2" width="10.140625" style="339" customWidth="1"/>
    <col min="3" max="3" width="11.28515625" style="722" customWidth="1"/>
    <col min="4" max="4" width="10.85546875" style="730" customWidth="1"/>
    <col min="5" max="5" width="9" style="339" customWidth="1"/>
    <col min="6" max="6" width="9" style="722" customWidth="1"/>
    <col min="7" max="7" width="9" style="730" customWidth="1"/>
    <col min="8" max="8" width="9.140625" style="339"/>
    <col min="9" max="9" width="23.28515625" style="339" customWidth="1"/>
    <col min="10" max="10" width="9.7109375" style="339" customWidth="1"/>
    <col min="11" max="11" width="10.28515625" style="722" customWidth="1"/>
    <col min="12" max="12" width="9.28515625" style="730" customWidth="1"/>
    <col min="13" max="13" width="27.42578125" style="339" customWidth="1"/>
    <col min="14" max="14" width="10.42578125" style="339" customWidth="1"/>
    <col min="15" max="15" width="15" style="339" customWidth="1"/>
    <col min="16" max="16" width="15.28515625" style="339" customWidth="1"/>
    <col min="17" max="16384" width="9.140625" style="339"/>
  </cols>
  <sheetData>
    <row r="1" spans="1:20" ht="21.75" x14ac:dyDescent="0.5">
      <c r="A1" s="342" t="s">
        <v>810</v>
      </c>
      <c r="C1" s="339"/>
      <c r="D1" s="339"/>
      <c r="F1" s="339"/>
      <c r="G1" s="339"/>
      <c r="K1" s="339"/>
      <c r="L1" s="382"/>
      <c r="P1"/>
      <c r="Q1" s="520"/>
      <c r="R1" s="520"/>
      <c r="S1" s="521"/>
      <c r="T1" s="522"/>
    </row>
    <row r="2" spans="1:20" ht="21.75" x14ac:dyDescent="0.5">
      <c r="C2" s="339"/>
      <c r="D2" s="339"/>
      <c r="F2" s="339"/>
      <c r="G2" s="339"/>
      <c r="K2" s="339"/>
      <c r="L2" s="339"/>
      <c r="P2"/>
      <c r="Q2" s="520"/>
      <c r="R2" s="520"/>
      <c r="S2" s="523"/>
      <c r="T2" s="520"/>
    </row>
    <row r="3" spans="1:20" ht="24.95" customHeight="1" x14ac:dyDescent="0.5">
      <c r="A3" s="3516" t="s">
        <v>0</v>
      </c>
      <c r="B3" s="3520" t="s">
        <v>6</v>
      </c>
      <c r="C3" s="3520"/>
      <c r="D3" s="3520"/>
      <c r="E3" s="3520" t="s">
        <v>2</v>
      </c>
      <c r="F3" s="3520"/>
      <c r="G3" s="3520"/>
      <c r="I3" s="3516" t="s">
        <v>0</v>
      </c>
      <c r="J3" s="3518" t="s">
        <v>28</v>
      </c>
      <c r="K3" s="3518"/>
      <c r="L3" s="3518"/>
      <c r="N3" s="468"/>
      <c r="O3" s="469"/>
      <c r="P3" s="467"/>
      <c r="Q3" s="520"/>
      <c r="R3" s="520"/>
      <c r="S3" s="520"/>
      <c r="T3" s="520"/>
    </row>
    <row r="4" spans="1:20" ht="24.95" customHeight="1" x14ac:dyDescent="0.45">
      <c r="A4" s="3517"/>
      <c r="B4" s="380" t="s">
        <v>28</v>
      </c>
      <c r="C4" s="723" t="s">
        <v>34</v>
      </c>
      <c r="D4" s="731" t="s">
        <v>62</v>
      </c>
      <c r="E4" s="380" t="s">
        <v>28</v>
      </c>
      <c r="F4" s="723" t="s">
        <v>34</v>
      </c>
      <c r="G4" s="731" t="s">
        <v>62</v>
      </c>
      <c r="I4" s="3517"/>
      <c r="J4" s="380" t="s">
        <v>28</v>
      </c>
      <c r="K4" s="723" t="s">
        <v>34</v>
      </c>
      <c r="L4" s="731" t="s">
        <v>62</v>
      </c>
      <c r="N4" s="468"/>
      <c r="O4" s="469"/>
    </row>
    <row r="5" spans="1:20" ht="24.95" customHeight="1" thickBot="1" x14ac:dyDescent="0.55000000000000004">
      <c r="A5" s="525" t="s">
        <v>28</v>
      </c>
      <c r="B5" s="367">
        <v>0</v>
      </c>
      <c r="C5" s="724">
        <v>0</v>
      </c>
      <c r="D5" s="732">
        <v>0</v>
      </c>
      <c r="E5" s="367">
        <v>0</v>
      </c>
      <c r="F5" s="724">
        <v>0</v>
      </c>
      <c r="G5" s="732">
        <v>0</v>
      </c>
      <c r="I5" s="525" t="s">
        <v>28</v>
      </c>
      <c r="J5" s="367">
        <v>385</v>
      </c>
      <c r="K5" s="724">
        <v>0</v>
      </c>
      <c r="L5" s="732">
        <v>385</v>
      </c>
      <c r="N5" s="720"/>
      <c r="O5" s="466"/>
    </row>
    <row r="6" spans="1:20" s="342" customFormat="1" ht="24.95" customHeight="1" thickTop="1" x14ac:dyDescent="0.3">
      <c r="A6" s="369" t="s">
        <v>7</v>
      </c>
      <c r="B6" s="370">
        <v>0</v>
      </c>
      <c r="C6" s="725">
        <v>0</v>
      </c>
      <c r="D6" s="733">
        <v>0</v>
      </c>
      <c r="E6" s="370">
        <v>0</v>
      </c>
      <c r="F6" s="725">
        <v>0</v>
      </c>
      <c r="G6" s="733">
        <v>0</v>
      </c>
      <c r="I6" s="369" t="s">
        <v>7</v>
      </c>
      <c r="J6" s="370">
        <v>0</v>
      </c>
      <c r="K6" s="725">
        <v>0</v>
      </c>
      <c r="L6" s="733">
        <v>0</v>
      </c>
    </row>
    <row r="7" spans="1:20" ht="24.95" customHeight="1" x14ac:dyDescent="0.3">
      <c r="A7" s="398" t="s">
        <v>8</v>
      </c>
      <c r="B7" s="372">
        <v>0</v>
      </c>
      <c r="C7" s="726">
        <v>0</v>
      </c>
      <c r="D7" s="734">
        <v>0</v>
      </c>
      <c r="E7" s="372">
        <v>0</v>
      </c>
      <c r="F7" s="726">
        <v>0</v>
      </c>
      <c r="G7" s="734">
        <v>0</v>
      </c>
      <c r="I7" s="398" t="s">
        <v>8</v>
      </c>
      <c r="J7" s="372">
        <v>0</v>
      </c>
      <c r="K7" s="726">
        <v>0</v>
      </c>
      <c r="L7" s="734">
        <v>0</v>
      </c>
    </row>
    <row r="8" spans="1:20" ht="24.95" customHeight="1" x14ac:dyDescent="0.3">
      <c r="A8" s="398" t="s">
        <v>306</v>
      </c>
      <c r="B8" s="372">
        <v>0</v>
      </c>
      <c r="C8" s="726">
        <v>0</v>
      </c>
      <c r="D8" s="734">
        <v>0</v>
      </c>
      <c r="E8" s="372">
        <v>0</v>
      </c>
      <c r="F8" s="726">
        <v>0</v>
      </c>
      <c r="G8" s="734">
        <v>0</v>
      </c>
      <c r="I8" s="398" t="s">
        <v>306</v>
      </c>
      <c r="J8" s="372">
        <v>0</v>
      </c>
      <c r="K8" s="726">
        <v>0</v>
      </c>
      <c r="L8" s="734">
        <v>0</v>
      </c>
    </row>
    <row r="9" spans="1:20" ht="24.95" customHeight="1" x14ac:dyDescent="0.3">
      <c r="A9" s="372"/>
      <c r="B9" s="372"/>
      <c r="C9" s="726"/>
      <c r="D9" s="734"/>
      <c r="E9" s="372"/>
      <c r="F9" s="726"/>
      <c r="G9" s="734"/>
      <c r="I9" s="372"/>
      <c r="J9" s="372"/>
      <c r="K9" s="726"/>
      <c r="L9" s="734"/>
    </row>
    <row r="10" spans="1:20" s="342" customFormat="1" ht="24.95" customHeight="1" x14ac:dyDescent="0.3">
      <c r="A10" s="526" t="s">
        <v>9</v>
      </c>
      <c r="B10" s="375">
        <v>0</v>
      </c>
      <c r="C10" s="727">
        <v>0</v>
      </c>
      <c r="D10" s="735">
        <v>0</v>
      </c>
      <c r="E10" s="375">
        <v>0</v>
      </c>
      <c r="F10" s="727">
        <v>0</v>
      </c>
      <c r="G10" s="735">
        <v>0</v>
      </c>
      <c r="I10" s="526" t="s">
        <v>9</v>
      </c>
      <c r="J10" s="375">
        <v>385</v>
      </c>
      <c r="K10" s="727">
        <v>0</v>
      </c>
      <c r="L10" s="735">
        <v>385</v>
      </c>
    </row>
    <row r="11" spans="1:20" ht="24.95" customHeight="1" x14ac:dyDescent="0.3">
      <c r="A11" s="372" t="s">
        <v>308</v>
      </c>
      <c r="B11" s="372">
        <v>0</v>
      </c>
      <c r="C11" s="726">
        <v>0</v>
      </c>
      <c r="D11" s="734">
        <v>0</v>
      </c>
      <c r="E11" s="372">
        <v>0</v>
      </c>
      <c r="F11" s="726">
        <v>0</v>
      </c>
      <c r="G11" s="734">
        <v>0</v>
      </c>
      <c r="I11" s="372" t="s">
        <v>308</v>
      </c>
      <c r="J11" s="372">
        <v>0</v>
      </c>
      <c r="K11" s="726">
        <v>0</v>
      </c>
      <c r="L11" s="734">
        <v>0</v>
      </c>
    </row>
    <row r="12" spans="1:20" ht="24.95" customHeight="1" x14ac:dyDescent="0.3">
      <c r="A12" s="372" t="s">
        <v>309</v>
      </c>
      <c r="B12" s="372">
        <v>0</v>
      </c>
      <c r="C12" s="726">
        <v>0</v>
      </c>
      <c r="D12" s="734">
        <v>0</v>
      </c>
      <c r="E12" s="372">
        <v>0</v>
      </c>
      <c r="F12" s="726">
        <v>0</v>
      </c>
      <c r="G12" s="734">
        <v>0</v>
      </c>
      <c r="I12" s="372" t="s">
        <v>309</v>
      </c>
      <c r="J12" s="372">
        <v>0</v>
      </c>
      <c r="K12" s="726">
        <v>0</v>
      </c>
      <c r="L12" s="734">
        <v>0</v>
      </c>
    </row>
    <row r="13" spans="1:20" ht="24.95" customHeight="1" x14ac:dyDescent="0.3">
      <c r="A13" s="372" t="s">
        <v>310</v>
      </c>
      <c r="B13" s="372">
        <v>0</v>
      </c>
      <c r="C13" s="726">
        <v>0</v>
      </c>
      <c r="D13" s="734">
        <v>0</v>
      </c>
      <c r="E13" s="372">
        <v>0</v>
      </c>
      <c r="F13" s="726">
        <v>0</v>
      </c>
      <c r="G13" s="734">
        <v>0</v>
      </c>
      <c r="I13" s="372" t="s">
        <v>310</v>
      </c>
      <c r="J13" s="372">
        <v>0</v>
      </c>
      <c r="K13" s="726">
        <v>0</v>
      </c>
      <c r="L13" s="734">
        <v>0</v>
      </c>
    </row>
    <row r="14" spans="1:20" ht="24.95" customHeight="1" x14ac:dyDescent="0.3">
      <c r="A14" s="372" t="s">
        <v>311</v>
      </c>
      <c r="B14" s="372">
        <v>0</v>
      </c>
      <c r="C14" s="726">
        <v>0</v>
      </c>
      <c r="D14" s="734">
        <v>0</v>
      </c>
      <c r="E14" s="372">
        <v>0</v>
      </c>
      <c r="F14" s="726">
        <v>0</v>
      </c>
      <c r="G14" s="734">
        <v>0</v>
      </c>
      <c r="I14" s="372" t="s">
        <v>311</v>
      </c>
      <c r="J14" s="372">
        <v>0</v>
      </c>
      <c r="K14" s="726">
        <v>0</v>
      </c>
      <c r="L14" s="734">
        <v>0</v>
      </c>
    </row>
    <row r="15" spans="1:20" ht="24.95" customHeight="1" x14ac:dyDescent="0.3">
      <c r="A15" s="372" t="s">
        <v>312</v>
      </c>
      <c r="B15" s="372">
        <v>0</v>
      </c>
      <c r="C15" s="726">
        <v>0</v>
      </c>
      <c r="D15" s="734">
        <v>0</v>
      </c>
      <c r="E15" s="372">
        <v>0</v>
      </c>
      <c r="F15" s="726">
        <v>0</v>
      </c>
      <c r="G15" s="734">
        <v>0</v>
      </c>
      <c r="I15" s="372" t="s">
        <v>312</v>
      </c>
      <c r="J15" s="372">
        <v>0</v>
      </c>
      <c r="K15" s="726">
        <v>0</v>
      </c>
      <c r="L15" s="734">
        <v>0</v>
      </c>
    </row>
    <row r="16" spans="1:20" ht="24.95" customHeight="1" x14ac:dyDescent="0.3">
      <c r="A16" s="372" t="s">
        <v>313</v>
      </c>
      <c r="B16" s="372">
        <v>0</v>
      </c>
      <c r="C16" s="726">
        <v>0</v>
      </c>
      <c r="D16" s="734">
        <v>0</v>
      </c>
      <c r="E16" s="372">
        <v>0</v>
      </c>
      <c r="F16" s="726">
        <v>0</v>
      </c>
      <c r="G16" s="734">
        <v>0</v>
      </c>
      <c r="I16" s="372" t="s">
        <v>313</v>
      </c>
      <c r="J16" s="372">
        <v>0</v>
      </c>
      <c r="K16" s="726">
        <v>0</v>
      </c>
      <c r="L16" s="734">
        <v>0</v>
      </c>
    </row>
    <row r="17" spans="1:12" ht="24.95" customHeight="1" x14ac:dyDescent="0.3">
      <c r="A17" s="372" t="s">
        <v>314</v>
      </c>
      <c r="B17" s="372">
        <v>0</v>
      </c>
      <c r="C17" s="726">
        <v>0</v>
      </c>
      <c r="D17" s="734">
        <v>0</v>
      </c>
      <c r="E17" s="372">
        <v>0</v>
      </c>
      <c r="F17" s="726">
        <v>0</v>
      </c>
      <c r="G17" s="734">
        <v>0</v>
      </c>
      <c r="I17" s="372" t="s">
        <v>314</v>
      </c>
      <c r="J17" s="372">
        <v>0</v>
      </c>
      <c r="K17" s="726">
        <v>0</v>
      </c>
      <c r="L17" s="734">
        <v>0</v>
      </c>
    </row>
    <row r="18" spans="1:12" ht="24.95" customHeight="1" x14ac:dyDescent="0.3">
      <c r="A18" s="372" t="s">
        <v>315</v>
      </c>
      <c r="B18" s="372">
        <v>0</v>
      </c>
      <c r="C18" s="726">
        <v>0</v>
      </c>
      <c r="D18" s="734">
        <v>0</v>
      </c>
      <c r="E18" s="372">
        <v>0</v>
      </c>
      <c r="F18" s="726">
        <v>0</v>
      </c>
      <c r="G18" s="734">
        <v>0</v>
      </c>
      <c r="I18" s="372" t="s">
        <v>315</v>
      </c>
      <c r="J18" s="372">
        <v>385</v>
      </c>
      <c r="K18" s="726">
        <v>0</v>
      </c>
      <c r="L18" s="734">
        <v>385</v>
      </c>
    </row>
    <row r="19" spans="1:12" ht="24.95" customHeight="1" x14ac:dyDescent="0.3">
      <c r="A19" s="372" t="s">
        <v>390</v>
      </c>
      <c r="B19" s="372">
        <v>0</v>
      </c>
      <c r="C19" s="726">
        <v>0</v>
      </c>
      <c r="D19" s="734">
        <v>0</v>
      </c>
      <c r="E19" s="372">
        <v>0</v>
      </c>
      <c r="F19" s="726">
        <v>0</v>
      </c>
      <c r="G19" s="734">
        <v>0</v>
      </c>
      <c r="I19" s="372" t="s">
        <v>390</v>
      </c>
      <c r="J19" s="372">
        <v>0</v>
      </c>
      <c r="K19" s="726">
        <v>0</v>
      </c>
      <c r="L19" s="734">
        <v>0</v>
      </c>
    </row>
    <row r="20" spans="1:12" s="342" customFormat="1" ht="24.95" customHeight="1" x14ac:dyDescent="0.3">
      <c r="A20" s="526" t="s">
        <v>12</v>
      </c>
      <c r="B20" s="375">
        <v>0</v>
      </c>
      <c r="C20" s="727">
        <v>0</v>
      </c>
      <c r="D20" s="735">
        <v>0</v>
      </c>
      <c r="E20" s="375">
        <v>0</v>
      </c>
      <c r="F20" s="727">
        <v>0</v>
      </c>
      <c r="G20" s="735">
        <v>0</v>
      </c>
      <c r="I20" s="526" t="s">
        <v>12</v>
      </c>
      <c r="J20" s="375">
        <v>0</v>
      </c>
      <c r="K20" s="727">
        <v>0</v>
      </c>
      <c r="L20" s="735">
        <v>0</v>
      </c>
    </row>
    <row r="21" spans="1:12" ht="24.95" customHeight="1" x14ac:dyDescent="0.3">
      <c r="A21" s="372" t="s">
        <v>391</v>
      </c>
      <c r="B21" s="372">
        <v>0</v>
      </c>
      <c r="C21" s="726">
        <v>0</v>
      </c>
      <c r="D21" s="734">
        <v>0</v>
      </c>
      <c r="E21" s="372">
        <v>0</v>
      </c>
      <c r="F21" s="726">
        <v>0</v>
      </c>
      <c r="G21" s="734">
        <v>0</v>
      </c>
      <c r="I21" s="372" t="s">
        <v>391</v>
      </c>
      <c r="J21" s="372">
        <v>0</v>
      </c>
      <c r="K21" s="726">
        <v>0</v>
      </c>
      <c r="L21" s="734">
        <v>0</v>
      </c>
    </row>
    <row r="22" spans="1:12" ht="24.95" customHeight="1" x14ac:dyDescent="0.3">
      <c r="A22" s="372" t="s">
        <v>392</v>
      </c>
      <c r="B22" s="372">
        <v>0</v>
      </c>
      <c r="C22" s="726">
        <v>0</v>
      </c>
      <c r="D22" s="734">
        <v>0</v>
      </c>
      <c r="E22" s="372">
        <v>0</v>
      </c>
      <c r="F22" s="726">
        <v>0</v>
      </c>
      <c r="G22" s="734">
        <v>0</v>
      </c>
      <c r="I22" s="372" t="s">
        <v>392</v>
      </c>
      <c r="J22" s="372">
        <v>0</v>
      </c>
      <c r="K22" s="726">
        <v>0</v>
      </c>
      <c r="L22" s="734">
        <v>0</v>
      </c>
    </row>
    <row r="23" spans="1:12" ht="24.95" customHeight="1" x14ac:dyDescent="0.3">
      <c r="A23" s="372" t="s">
        <v>393</v>
      </c>
      <c r="B23" s="372">
        <v>0</v>
      </c>
      <c r="C23" s="726">
        <v>0</v>
      </c>
      <c r="D23" s="734">
        <v>0</v>
      </c>
      <c r="E23" s="372">
        <v>0</v>
      </c>
      <c r="F23" s="726">
        <v>0</v>
      </c>
      <c r="G23" s="734">
        <v>0</v>
      </c>
      <c r="I23" s="372" t="s">
        <v>393</v>
      </c>
      <c r="J23" s="372">
        <v>0</v>
      </c>
      <c r="K23" s="726">
        <v>0</v>
      </c>
      <c r="L23" s="734">
        <v>0</v>
      </c>
    </row>
    <row r="24" spans="1:12" ht="24.95" customHeight="1" x14ac:dyDescent="0.3">
      <c r="A24" s="372" t="s">
        <v>394</v>
      </c>
      <c r="B24" s="372">
        <v>0</v>
      </c>
      <c r="C24" s="726">
        <v>0</v>
      </c>
      <c r="D24" s="734">
        <v>0</v>
      </c>
      <c r="E24" s="372">
        <v>0</v>
      </c>
      <c r="F24" s="726">
        <v>0</v>
      </c>
      <c r="G24" s="734">
        <v>0</v>
      </c>
      <c r="I24" s="372" t="s">
        <v>394</v>
      </c>
      <c r="J24" s="372">
        <v>0</v>
      </c>
      <c r="K24" s="726">
        <v>0</v>
      </c>
      <c r="L24" s="734">
        <v>0</v>
      </c>
    </row>
    <row r="25" spans="1:12" ht="24.75" customHeight="1" x14ac:dyDescent="0.3">
      <c r="A25" s="377"/>
      <c r="B25" s="377"/>
      <c r="C25" s="728"/>
      <c r="D25" s="736"/>
      <c r="E25" s="377"/>
      <c r="F25" s="728"/>
      <c r="G25" s="736"/>
      <c r="I25" s="377"/>
      <c r="J25" s="377"/>
      <c r="K25" s="728"/>
      <c r="L25" s="736"/>
    </row>
    <row r="26" spans="1:12" x14ac:dyDescent="0.3">
      <c r="C26" s="339"/>
      <c r="D26" s="339"/>
      <c r="F26" s="339"/>
      <c r="G26" s="339"/>
      <c r="K26" s="339"/>
      <c r="L26" s="339"/>
    </row>
    <row r="27" spans="1:12" x14ac:dyDescent="0.3">
      <c r="C27" s="339"/>
      <c r="D27" s="339"/>
      <c r="F27" s="339"/>
      <c r="G27" s="339"/>
      <c r="K27" s="339"/>
      <c r="L27" s="339"/>
    </row>
    <row r="28" spans="1:12" x14ac:dyDescent="0.3">
      <c r="C28" s="339"/>
      <c r="D28" s="339"/>
      <c r="F28" s="339"/>
      <c r="G28" s="339"/>
      <c r="K28" s="339"/>
      <c r="L28" s="339"/>
    </row>
    <row r="29" spans="1:12" x14ac:dyDescent="0.3">
      <c r="C29" s="339"/>
      <c r="D29" s="339"/>
      <c r="F29" s="339"/>
      <c r="G29" s="339"/>
      <c r="K29" s="339"/>
      <c r="L29" s="339"/>
    </row>
    <row r="30" spans="1:12" x14ac:dyDescent="0.3">
      <c r="C30" s="339"/>
      <c r="D30" s="339"/>
      <c r="F30" s="339"/>
      <c r="G30" s="339"/>
      <c r="K30" s="339"/>
      <c r="L30" s="339"/>
    </row>
    <row r="31" spans="1:12" x14ac:dyDescent="0.3">
      <c r="C31" s="339"/>
      <c r="D31" s="339"/>
      <c r="F31" s="339"/>
      <c r="G31" s="339"/>
      <c r="K31" s="339"/>
      <c r="L31" s="339"/>
    </row>
    <row r="32" spans="1:12" x14ac:dyDescent="0.3">
      <c r="C32" s="339"/>
      <c r="D32" s="339"/>
      <c r="F32" s="339"/>
      <c r="G32" s="339"/>
      <c r="K32" s="339"/>
      <c r="L32" s="339"/>
    </row>
    <row r="33" spans="1:12" x14ac:dyDescent="0.3">
      <c r="C33" s="339"/>
      <c r="D33" s="339"/>
      <c r="F33" s="339"/>
      <c r="G33" s="339"/>
      <c r="K33" s="339"/>
      <c r="L33" s="339"/>
    </row>
    <row r="34" spans="1:12" x14ac:dyDescent="0.3">
      <c r="C34" s="339"/>
      <c r="D34" s="339"/>
      <c r="F34" s="339"/>
      <c r="G34" s="339"/>
      <c r="K34" s="339"/>
      <c r="L34" s="339"/>
    </row>
    <row r="35" spans="1:12" x14ac:dyDescent="0.3">
      <c r="C35" s="339"/>
      <c r="D35" s="339"/>
      <c r="F35" s="339"/>
      <c r="G35" s="339"/>
      <c r="K35" s="339"/>
      <c r="L35" s="339"/>
    </row>
    <row r="36" spans="1:12" x14ac:dyDescent="0.3">
      <c r="C36" s="339"/>
      <c r="D36" s="339"/>
      <c r="F36" s="339"/>
      <c r="G36" s="339"/>
      <c r="K36" s="339"/>
      <c r="L36" s="339"/>
    </row>
    <row r="37" spans="1:12" x14ac:dyDescent="0.3">
      <c r="A37" s="3516" t="s">
        <v>0</v>
      </c>
      <c r="B37" s="3520" t="s">
        <v>1</v>
      </c>
      <c r="C37" s="3520"/>
      <c r="D37" s="3520"/>
      <c r="E37" s="3520" t="s">
        <v>3</v>
      </c>
      <c r="F37" s="3520"/>
      <c r="G37" s="3520"/>
      <c r="K37" s="339"/>
      <c r="L37" s="339"/>
    </row>
    <row r="38" spans="1:12" x14ac:dyDescent="0.3">
      <c r="A38" s="3517"/>
      <c r="B38" s="380" t="s">
        <v>28</v>
      </c>
      <c r="C38" s="723" t="s">
        <v>34</v>
      </c>
      <c r="D38" s="731" t="s">
        <v>62</v>
      </c>
      <c r="E38" s="380" t="s">
        <v>28</v>
      </c>
      <c r="F38" s="723" t="s">
        <v>34</v>
      </c>
      <c r="G38" s="731" t="s">
        <v>62</v>
      </c>
      <c r="K38" s="339"/>
      <c r="L38" s="339"/>
    </row>
    <row r="39" spans="1:12" ht="19.5" thickBot="1" x14ac:dyDescent="0.35">
      <c r="A39" s="525" t="s">
        <v>28</v>
      </c>
      <c r="B39" s="367" t="e">
        <v>#REF!</v>
      </c>
      <c r="C39" s="724" t="e">
        <v>#REF!</v>
      </c>
      <c r="D39" s="737" t="e">
        <v>#REF!</v>
      </c>
      <c r="E39" s="367" t="e">
        <v>#REF!</v>
      </c>
      <c r="F39" s="724" t="e">
        <v>#REF!</v>
      </c>
      <c r="G39" s="732" t="e">
        <v>#REF!</v>
      </c>
      <c r="K39" s="339"/>
      <c r="L39" s="339"/>
    </row>
    <row r="40" spans="1:12" ht="19.5" thickTop="1" x14ac:dyDescent="0.3">
      <c r="A40" s="369" t="s">
        <v>7</v>
      </c>
      <c r="B40" s="370" t="e">
        <v>#REF!</v>
      </c>
      <c r="C40" s="725" t="e">
        <v>#REF!</v>
      </c>
      <c r="D40" s="733" t="e">
        <v>#REF!</v>
      </c>
      <c r="E40" s="370" t="e">
        <v>#REF!</v>
      </c>
      <c r="F40" s="725" t="e">
        <v>#REF!</v>
      </c>
      <c r="G40" s="733" t="e">
        <v>#REF!</v>
      </c>
      <c r="K40" s="339"/>
      <c r="L40" s="339"/>
    </row>
    <row r="41" spans="1:12" x14ac:dyDescent="0.3">
      <c r="A41" s="398" t="s">
        <v>8</v>
      </c>
      <c r="B41" s="372" t="e">
        <v>#REF!</v>
      </c>
      <c r="C41" s="726" t="e">
        <v>#REF!</v>
      </c>
      <c r="D41" s="734" t="e">
        <v>#REF!</v>
      </c>
      <c r="E41" s="372" t="e">
        <v>#REF!</v>
      </c>
      <c r="F41" s="726" t="e">
        <v>#REF!</v>
      </c>
      <c r="G41" s="734" t="e">
        <v>#REF!</v>
      </c>
      <c r="K41" s="339"/>
      <c r="L41" s="339"/>
    </row>
    <row r="42" spans="1:12" x14ac:dyDescent="0.3">
      <c r="A42" s="398" t="s">
        <v>306</v>
      </c>
      <c r="B42" s="372" t="e">
        <v>#REF!</v>
      </c>
      <c r="C42" s="726" t="e">
        <v>#REF!</v>
      </c>
      <c r="D42" s="734" t="e">
        <v>#REF!</v>
      </c>
      <c r="E42" s="372" t="e">
        <v>#REF!</v>
      </c>
      <c r="F42" s="726" t="e">
        <v>#REF!</v>
      </c>
      <c r="G42" s="734" t="e">
        <v>#REF!</v>
      </c>
      <c r="K42" s="339"/>
      <c r="L42" s="339"/>
    </row>
    <row r="43" spans="1:12" x14ac:dyDescent="0.3">
      <c r="A43" s="372"/>
      <c r="B43" s="372"/>
      <c r="C43" s="726"/>
      <c r="D43" s="734"/>
      <c r="E43" s="372"/>
      <c r="F43" s="726"/>
      <c r="G43" s="734"/>
      <c r="K43" s="339"/>
      <c r="L43" s="339"/>
    </row>
    <row r="44" spans="1:12" x14ac:dyDescent="0.3">
      <c r="A44" s="526" t="s">
        <v>9</v>
      </c>
      <c r="B44" s="375" t="e">
        <v>#REF!</v>
      </c>
      <c r="C44" s="727" t="e">
        <v>#REF!</v>
      </c>
      <c r="D44" s="735" t="e">
        <v>#REF!</v>
      </c>
      <c r="E44" s="375" t="e">
        <v>#REF!</v>
      </c>
      <c r="F44" s="727" t="e">
        <v>#REF!</v>
      </c>
      <c r="G44" s="735" t="e">
        <v>#REF!</v>
      </c>
      <c r="K44" s="339"/>
      <c r="L44" s="339"/>
    </row>
    <row r="45" spans="1:12" x14ac:dyDescent="0.3">
      <c r="A45" s="372" t="s">
        <v>308</v>
      </c>
      <c r="B45" s="372" t="e">
        <v>#REF!</v>
      </c>
      <c r="C45" s="726" t="e">
        <v>#REF!</v>
      </c>
      <c r="D45" s="734" t="e">
        <v>#REF!</v>
      </c>
      <c r="E45" s="372" t="e">
        <v>#REF!</v>
      </c>
      <c r="F45" s="726" t="e">
        <v>#REF!</v>
      </c>
      <c r="G45" s="734" t="e">
        <v>#REF!</v>
      </c>
      <c r="K45" s="339"/>
      <c r="L45" s="339"/>
    </row>
    <row r="46" spans="1:12" x14ac:dyDescent="0.3">
      <c r="A46" s="372" t="s">
        <v>309</v>
      </c>
      <c r="B46" s="372" t="e">
        <v>#REF!</v>
      </c>
      <c r="C46" s="726" t="e">
        <v>#REF!</v>
      </c>
      <c r="D46" s="734" t="e">
        <v>#REF!</v>
      </c>
      <c r="E46" s="372" t="e">
        <v>#REF!</v>
      </c>
      <c r="F46" s="726" t="e">
        <v>#REF!</v>
      </c>
      <c r="G46" s="734" t="e">
        <v>#REF!</v>
      </c>
      <c r="K46" s="339"/>
      <c r="L46" s="339"/>
    </row>
    <row r="47" spans="1:12" x14ac:dyDescent="0.3">
      <c r="A47" s="372" t="s">
        <v>310</v>
      </c>
      <c r="B47" s="372" t="e">
        <v>#REF!</v>
      </c>
      <c r="C47" s="726" t="e">
        <v>#REF!</v>
      </c>
      <c r="D47" s="734" t="e">
        <v>#REF!</v>
      </c>
      <c r="E47" s="372" t="e">
        <v>#REF!</v>
      </c>
      <c r="F47" s="726" t="e">
        <v>#REF!</v>
      </c>
      <c r="G47" s="734" t="e">
        <v>#REF!</v>
      </c>
      <c r="K47" s="339"/>
      <c r="L47" s="339"/>
    </row>
    <row r="48" spans="1:12" x14ac:dyDescent="0.3">
      <c r="A48" s="372" t="s">
        <v>311</v>
      </c>
      <c r="B48" s="372" t="e">
        <v>#REF!</v>
      </c>
      <c r="C48" s="726" t="e">
        <v>#REF!</v>
      </c>
      <c r="D48" s="734" t="e">
        <v>#REF!</v>
      </c>
      <c r="E48" s="372" t="e">
        <v>#REF!</v>
      </c>
      <c r="F48" s="726" t="e">
        <v>#REF!</v>
      </c>
      <c r="G48" s="734" t="e">
        <v>#REF!</v>
      </c>
      <c r="K48" s="339"/>
      <c r="L48" s="339"/>
    </row>
    <row r="49" spans="1:12" x14ac:dyDescent="0.3">
      <c r="A49" s="372" t="s">
        <v>312</v>
      </c>
      <c r="B49" s="372" t="e">
        <v>#REF!</v>
      </c>
      <c r="C49" s="726" t="e">
        <v>#REF!</v>
      </c>
      <c r="D49" s="734" t="e">
        <v>#REF!</v>
      </c>
      <c r="E49" s="372" t="e">
        <v>#REF!</v>
      </c>
      <c r="F49" s="726" t="e">
        <v>#REF!</v>
      </c>
      <c r="G49" s="734" t="e">
        <v>#REF!</v>
      </c>
      <c r="K49" s="339"/>
      <c r="L49" s="339"/>
    </row>
    <row r="50" spans="1:12" x14ac:dyDescent="0.3">
      <c r="A50" s="372" t="s">
        <v>313</v>
      </c>
      <c r="B50" s="372" t="e">
        <v>#REF!</v>
      </c>
      <c r="C50" s="726" t="e">
        <v>#REF!</v>
      </c>
      <c r="D50" s="734" t="e">
        <v>#REF!</v>
      </c>
      <c r="E50" s="372" t="e">
        <v>#REF!</v>
      </c>
      <c r="F50" s="726" t="e">
        <v>#REF!</v>
      </c>
      <c r="G50" s="734" t="e">
        <v>#REF!</v>
      </c>
      <c r="K50" s="339"/>
      <c r="L50" s="339"/>
    </row>
    <row r="51" spans="1:12" x14ac:dyDescent="0.3">
      <c r="A51" s="372" t="s">
        <v>314</v>
      </c>
      <c r="B51" s="372"/>
      <c r="C51" s="726" t="e">
        <v>#REF!</v>
      </c>
      <c r="D51" s="734" t="e">
        <v>#REF!</v>
      </c>
      <c r="E51" s="372" t="e">
        <v>#REF!</v>
      </c>
      <c r="F51" s="726" t="e">
        <v>#REF!</v>
      </c>
      <c r="G51" s="734" t="e">
        <v>#REF!</v>
      </c>
      <c r="K51" s="339"/>
      <c r="L51" s="339"/>
    </row>
    <row r="52" spans="1:12" x14ac:dyDescent="0.3">
      <c r="A52" s="372" t="s">
        <v>315</v>
      </c>
      <c r="B52" s="372"/>
      <c r="C52" s="726" t="e">
        <v>#REF!</v>
      </c>
      <c r="D52" s="734" t="e">
        <v>#REF!</v>
      </c>
      <c r="E52" s="372" t="e">
        <v>#REF!</v>
      </c>
      <c r="F52" s="726" t="e">
        <v>#REF!</v>
      </c>
      <c r="G52" s="734" t="e">
        <v>#REF!</v>
      </c>
      <c r="K52" s="339"/>
      <c r="L52" s="339"/>
    </row>
    <row r="53" spans="1:12" x14ac:dyDescent="0.3">
      <c r="A53" s="372" t="s">
        <v>390</v>
      </c>
      <c r="B53" s="372"/>
      <c r="C53" s="726"/>
      <c r="D53" s="734"/>
      <c r="E53" s="372"/>
      <c r="F53" s="726"/>
      <c r="G53" s="734"/>
      <c r="K53" s="339"/>
      <c r="L53" s="339"/>
    </row>
    <row r="54" spans="1:12" x14ac:dyDescent="0.3">
      <c r="A54" s="526" t="s">
        <v>12</v>
      </c>
      <c r="B54" s="375" t="e">
        <v>#REF!</v>
      </c>
      <c r="C54" s="727" t="e">
        <v>#REF!</v>
      </c>
      <c r="D54" s="735" t="e">
        <v>#REF!</v>
      </c>
      <c r="E54" s="375" t="e">
        <v>#REF!</v>
      </c>
      <c r="F54" s="727" t="e">
        <v>#REF!</v>
      </c>
      <c r="G54" s="735" t="e">
        <v>#REF!</v>
      </c>
      <c r="K54" s="339"/>
      <c r="L54" s="339"/>
    </row>
    <row r="55" spans="1:12" x14ac:dyDescent="0.3">
      <c r="A55" s="372" t="s">
        <v>391</v>
      </c>
      <c r="B55" s="372" t="e">
        <v>#REF!</v>
      </c>
      <c r="C55" s="726" t="e">
        <v>#REF!</v>
      </c>
      <c r="D55" s="734" t="e">
        <v>#REF!</v>
      </c>
      <c r="E55" s="372" t="e">
        <v>#REF!</v>
      </c>
      <c r="F55" s="726" t="e">
        <v>#REF!</v>
      </c>
      <c r="G55" s="734" t="e">
        <v>#REF!</v>
      </c>
      <c r="K55" s="339"/>
      <c r="L55" s="339"/>
    </row>
    <row r="56" spans="1:12" x14ac:dyDescent="0.3">
      <c r="A56" s="372" t="s">
        <v>392</v>
      </c>
      <c r="B56" s="372" t="e">
        <v>#REF!</v>
      </c>
      <c r="C56" s="726" t="e">
        <v>#REF!</v>
      </c>
      <c r="D56" s="734" t="e">
        <v>#REF!</v>
      </c>
      <c r="E56" s="372" t="e">
        <v>#REF!</v>
      </c>
      <c r="F56" s="726" t="e">
        <v>#REF!</v>
      </c>
      <c r="G56" s="734" t="e">
        <v>#REF!</v>
      </c>
      <c r="K56" s="339"/>
      <c r="L56" s="339"/>
    </row>
    <row r="57" spans="1:12" x14ac:dyDescent="0.3">
      <c r="A57" s="372" t="s">
        <v>393</v>
      </c>
      <c r="B57" s="372" t="e">
        <v>#REF!</v>
      </c>
      <c r="C57" s="726" t="e">
        <v>#REF!</v>
      </c>
      <c r="D57" s="734" t="e">
        <v>#REF!</v>
      </c>
      <c r="E57" s="372" t="e">
        <v>#REF!</v>
      </c>
      <c r="F57" s="726" t="e">
        <v>#REF!</v>
      </c>
      <c r="G57" s="734" t="e">
        <v>#REF!</v>
      </c>
      <c r="K57" s="339"/>
      <c r="L57" s="339"/>
    </row>
    <row r="58" spans="1:12" x14ac:dyDescent="0.3">
      <c r="A58" s="372" t="s">
        <v>394</v>
      </c>
      <c r="B58" s="372" t="e">
        <v>#REF!</v>
      </c>
      <c r="C58" s="726" t="e">
        <v>#REF!</v>
      </c>
      <c r="D58" s="734" t="e">
        <v>#REF!</v>
      </c>
      <c r="E58" s="372" t="e">
        <v>#REF!</v>
      </c>
      <c r="F58" s="726" t="e">
        <v>#REF!</v>
      </c>
      <c r="G58" s="734" t="e">
        <v>#REF!</v>
      </c>
      <c r="K58" s="339"/>
      <c r="L58" s="339"/>
    </row>
    <row r="59" spans="1:12" x14ac:dyDescent="0.3">
      <c r="A59" s="377"/>
      <c r="B59" s="377"/>
      <c r="C59" s="728"/>
      <c r="D59" s="736"/>
      <c r="E59" s="377"/>
      <c r="F59" s="728"/>
      <c r="G59" s="736"/>
      <c r="K59" s="339"/>
      <c r="L59" s="339"/>
    </row>
    <row r="60" spans="1:12" x14ac:dyDescent="0.3">
      <c r="C60" s="339"/>
      <c r="D60" s="339"/>
      <c r="F60" s="339"/>
      <c r="G60" s="339"/>
      <c r="K60" s="339"/>
      <c r="L60" s="339"/>
    </row>
    <row r="61" spans="1:12" x14ac:dyDescent="0.3">
      <c r="C61" s="339"/>
      <c r="D61" s="339"/>
      <c r="F61" s="339"/>
      <c r="G61" s="339"/>
      <c r="K61" s="339"/>
      <c r="L61" s="339"/>
    </row>
    <row r="62" spans="1:12" x14ac:dyDescent="0.3">
      <c r="C62" s="339"/>
      <c r="D62" s="339"/>
      <c r="F62" s="339"/>
      <c r="G62" s="339"/>
      <c r="K62" s="339"/>
      <c r="L62" s="339"/>
    </row>
    <row r="63" spans="1:12" x14ac:dyDescent="0.3">
      <c r="C63" s="339"/>
      <c r="D63" s="339"/>
      <c r="F63" s="339"/>
      <c r="G63" s="339"/>
      <c r="K63" s="339"/>
      <c r="L63" s="339"/>
    </row>
    <row r="64" spans="1:12" x14ac:dyDescent="0.3">
      <c r="C64" s="339"/>
      <c r="D64" s="339"/>
      <c r="F64" s="339"/>
      <c r="G64" s="339"/>
      <c r="K64" s="339"/>
      <c r="L64" s="339"/>
    </row>
    <row r="65" spans="1:12" x14ac:dyDescent="0.3">
      <c r="C65" s="339"/>
      <c r="D65" s="339"/>
      <c r="F65" s="339"/>
      <c r="G65" s="339"/>
      <c r="K65" s="339"/>
      <c r="L65" s="339"/>
    </row>
    <row r="66" spans="1:12" x14ac:dyDescent="0.3">
      <c r="C66" s="339"/>
      <c r="D66" s="339"/>
      <c r="F66" s="339"/>
      <c r="G66" s="339"/>
      <c r="K66" s="339"/>
      <c r="L66" s="339"/>
    </row>
    <row r="67" spans="1:12" x14ac:dyDescent="0.3">
      <c r="C67" s="339"/>
      <c r="D67" s="339"/>
      <c r="F67" s="339"/>
      <c r="G67" s="339"/>
      <c r="K67" s="339"/>
      <c r="L67" s="339"/>
    </row>
    <row r="68" spans="1:12" x14ac:dyDescent="0.3">
      <c r="C68" s="339"/>
      <c r="D68" s="339"/>
      <c r="F68" s="339"/>
      <c r="G68" s="339"/>
      <c r="K68" s="339"/>
      <c r="L68" s="339"/>
    </row>
    <row r="69" spans="1:12" x14ac:dyDescent="0.3">
      <c r="C69" s="339"/>
      <c r="D69" s="339"/>
      <c r="F69" s="339"/>
      <c r="G69" s="339"/>
      <c r="K69" s="339"/>
      <c r="L69" s="339"/>
    </row>
    <row r="70" spans="1:12" x14ac:dyDescent="0.3">
      <c r="C70" s="339"/>
      <c r="D70" s="339"/>
      <c r="F70" s="339"/>
      <c r="G70" s="339"/>
      <c r="K70" s="339"/>
      <c r="L70" s="339"/>
    </row>
    <row r="71" spans="1:12" x14ac:dyDescent="0.3">
      <c r="C71" s="339"/>
      <c r="D71" s="339"/>
      <c r="F71" s="339"/>
      <c r="G71" s="339"/>
      <c r="K71" s="339"/>
      <c r="L71" s="339"/>
    </row>
    <row r="72" spans="1:12" x14ac:dyDescent="0.3">
      <c r="C72" s="339"/>
      <c r="D72" s="339"/>
      <c r="F72" s="339"/>
      <c r="G72" s="339"/>
      <c r="K72" s="339"/>
      <c r="L72" s="339"/>
    </row>
    <row r="73" spans="1:12" x14ac:dyDescent="0.3">
      <c r="C73" s="339"/>
      <c r="D73" s="339"/>
      <c r="F73" s="339"/>
      <c r="G73" s="339"/>
      <c r="K73" s="339"/>
      <c r="L73" s="339"/>
    </row>
    <row r="74" spans="1:12" x14ac:dyDescent="0.3">
      <c r="A74" s="3516" t="s">
        <v>0</v>
      </c>
      <c r="B74" s="3520" t="s">
        <v>24</v>
      </c>
      <c r="C74" s="3520"/>
      <c r="D74" s="3520"/>
      <c r="E74" s="3520" t="s">
        <v>23</v>
      </c>
      <c r="F74" s="3520"/>
      <c r="G74" s="3520"/>
      <c r="K74" s="339"/>
      <c r="L74" s="339"/>
    </row>
    <row r="75" spans="1:12" x14ac:dyDescent="0.3">
      <c r="A75" s="3517"/>
      <c r="B75" s="380" t="s">
        <v>28</v>
      </c>
      <c r="C75" s="723" t="s">
        <v>34</v>
      </c>
      <c r="D75" s="731" t="s">
        <v>62</v>
      </c>
      <c r="E75" s="380" t="s">
        <v>28</v>
      </c>
      <c r="F75" s="723" t="s">
        <v>34</v>
      </c>
      <c r="G75" s="731" t="s">
        <v>62</v>
      </c>
      <c r="K75" s="339"/>
      <c r="L75" s="339"/>
    </row>
    <row r="76" spans="1:12" ht="19.5" thickBot="1" x14ac:dyDescent="0.35">
      <c r="A76" s="525" t="s">
        <v>28</v>
      </c>
      <c r="B76" s="367" t="e">
        <v>#REF!</v>
      </c>
      <c r="C76" s="724" t="e">
        <v>#REF!</v>
      </c>
      <c r="D76" s="732" t="e">
        <v>#REF!</v>
      </c>
      <c r="E76" s="367">
        <v>0</v>
      </c>
      <c r="F76" s="724">
        <v>0</v>
      </c>
      <c r="G76" s="732">
        <v>0</v>
      </c>
      <c r="K76" s="339"/>
      <c r="L76" s="339"/>
    </row>
    <row r="77" spans="1:12" ht="19.5" thickTop="1" x14ac:dyDescent="0.3">
      <c r="A77" s="369" t="s">
        <v>7</v>
      </c>
      <c r="B77" s="370" t="e">
        <v>#REF!</v>
      </c>
      <c r="C77" s="725" t="e">
        <v>#REF!</v>
      </c>
      <c r="D77" s="733" t="e">
        <v>#REF!</v>
      </c>
      <c r="E77" s="370">
        <v>0</v>
      </c>
      <c r="F77" s="725">
        <v>0</v>
      </c>
      <c r="G77" s="733">
        <v>0</v>
      </c>
      <c r="K77" s="339"/>
      <c r="L77" s="339"/>
    </row>
    <row r="78" spans="1:12" x14ac:dyDescent="0.3">
      <c r="A78" s="398" t="s">
        <v>8</v>
      </c>
      <c r="B78" s="372" t="e">
        <v>#REF!</v>
      </c>
      <c r="C78" s="726" t="e">
        <v>#REF!</v>
      </c>
      <c r="D78" s="734" t="e">
        <v>#REF!</v>
      </c>
      <c r="E78" s="372">
        <v>0</v>
      </c>
      <c r="F78" s="726"/>
      <c r="G78" s="734"/>
      <c r="K78" s="339"/>
      <c r="L78" s="339"/>
    </row>
    <row r="79" spans="1:12" x14ac:dyDescent="0.3">
      <c r="A79" s="398" t="s">
        <v>306</v>
      </c>
      <c r="B79" s="372" t="e">
        <v>#REF!</v>
      </c>
      <c r="C79" s="726" t="e">
        <v>#REF!</v>
      </c>
      <c r="D79" s="734" t="e">
        <v>#REF!</v>
      </c>
      <c r="E79" s="372">
        <v>0</v>
      </c>
      <c r="F79" s="726"/>
      <c r="G79" s="734"/>
      <c r="K79" s="339"/>
      <c r="L79" s="339"/>
    </row>
    <row r="80" spans="1:12" x14ac:dyDescent="0.3">
      <c r="A80" s="372"/>
      <c r="B80" s="372"/>
      <c r="C80" s="726"/>
      <c r="D80" s="734"/>
      <c r="E80" s="372"/>
      <c r="F80" s="726"/>
      <c r="G80" s="734"/>
      <c r="K80" s="339"/>
      <c r="L80" s="339"/>
    </row>
    <row r="81" spans="1:12" x14ac:dyDescent="0.3">
      <c r="A81" s="526" t="s">
        <v>9</v>
      </c>
      <c r="B81" s="375" t="e">
        <v>#REF!</v>
      </c>
      <c r="C81" s="727" t="e">
        <v>#REF!</v>
      </c>
      <c r="D81" s="735" t="e">
        <v>#REF!</v>
      </c>
      <c r="E81" s="375">
        <v>0</v>
      </c>
      <c r="F81" s="727">
        <v>0</v>
      </c>
      <c r="G81" s="735">
        <v>0</v>
      </c>
      <c r="K81" s="339"/>
      <c r="L81" s="339"/>
    </row>
    <row r="82" spans="1:12" x14ac:dyDescent="0.3">
      <c r="A82" s="372" t="s">
        <v>308</v>
      </c>
      <c r="B82" s="372" t="e">
        <v>#REF!</v>
      </c>
      <c r="C82" s="726" t="e">
        <v>#REF!</v>
      </c>
      <c r="D82" s="734" t="e">
        <v>#REF!</v>
      </c>
      <c r="E82" s="372">
        <v>0</v>
      </c>
      <c r="F82" s="726"/>
      <c r="G82" s="734"/>
      <c r="K82" s="339"/>
      <c r="L82" s="339"/>
    </row>
    <row r="83" spans="1:12" x14ac:dyDescent="0.3">
      <c r="A83" s="372" t="s">
        <v>309</v>
      </c>
      <c r="B83" s="372" t="e">
        <v>#REF!</v>
      </c>
      <c r="C83" s="726" t="e">
        <v>#REF!</v>
      </c>
      <c r="D83" s="734" t="e">
        <v>#REF!</v>
      </c>
      <c r="E83" s="372">
        <v>0</v>
      </c>
      <c r="F83" s="726"/>
      <c r="G83" s="734"/>
      <c r="K83" s="339"/>
      <c r="L83" s="339"/>
    </row>
    <row r="84" spans="1:12" x14ac:dyDescent="0.3">
      <c r="A84" s="372" t="s">
        <v>310</v>
      </c>
      <c r="B84" s="372" t="e">
        <v>#REF!</v>
      </c>
      <c r="C84" s="726" t="e">
        <v>#REF!</v>
      </c>
      <c r="D84" s="734" t="e">
        <v>#REF!</v>
      </c>
      <c r="E84" s="372">
        <v>0</v>
      </c>
      <c r="F84" s="726"/>
      <c r="G84" s="734"/>
      <c r="K84" s="339"/>
      <c r="L84" s="339"/>
    </row>
    <row r="85" spans="1:12" x14ac:dyDescent="0.3">
      <c r="A85" s="372" t="s">
        <v>311</v>
      </c>
      <c r="B85" s="372" t="e">
        <v>#REF!</v>
      </c>
      <c r="C85" s="726" t="e">
        <v>#REF!</v>
      </c>
      <c r="D85" s="734" t="e">
        <v>#REF!</v>
      </c>
      <c r="E85" s="372">
        <v>0</v>
      </c>
      <c r="F85" s="726"/>
      <c r="G85" s="734"/>
      <c r="K85" s="339"/>
      <c r="L85" s="339"/>
    </row>
    <row r="86" spans="1:12" x14ac:dyDescent="0.3">
      <c r="A86" s="372" t="s">
        <v>312</v>
      </c>
      <c r="B86" s="372" t="e">
        <v>#REF!</v>
      </c>
      <c r="C86" s="726" t="e">
        <v>#REF!</v>
      </c>
      <c r="D86" s="734" t="e">
        <v>#REF!</v>
      </c>
      <c r="E86" s="372">
        <v>0</v>
      </c>
      <c r="F86" s="726"/>
      <c r="G86" s="734"/>
      <c r="K86" s="339"/>
      <c r="L86" s="339"/>
    </row>
    <row r="87" spans="1:12" x14ac:dyDescent="0.3">
      <c r="A87" s="372" t="s">
        <v>313</v>
      </c>
      <c r="B87" s="372" t="e">
        <v>#REF!</v>
      </c>
      <c r="C87" s="726" t="e">
        <v>#REF!</v>
      </c>
      <c r="D87" s="734" t="e">
        <v>#REF!</v>
      </c>
      <c r="E87" s="372">
        <v>0</v>
      </c>
      <c r="F87" s="726"/>
      <c r="G87" s="734"/>
      <c r="K87" s="339"/>
      <c r="L87" s="339"/>
    </row>
    <row r="88" spans="1:12" x14ac:dyDescent="0.3">
      <c r="A88" s="372" t="s">
        <v>314</v>
      </c>
      <c r="B88" s="372"/>
      <c r="C88" s="726" t="e">
        <v>#REF!</v>
      </c>
      <c r="D88" s="734" t="e">
        <v>#REF!</v>
      </c>
      <c r="E88" s="372"/>
      <c r="F88" s="726"/>
      <c r="G88" s="734"/>
      <c r="K88" s="339"/>
      <c r="L88" s="339"/>
    </row>
    <row r="89" spans="1:12" x14ac:dyDescent="0.3">
      <c r="A89" s="372" t="s">
        <v>315</v>
      </c>
      <c r="B89" s="372"/>
      <c r="C89" s="726" t="e">
        <v>#REF!</v>
      </c>
      <c r="D89" s="734" t="e">
        <v>#REF!</v>
      </c>
      <c r="E89" s="372"/>
      <c r="F89" s="726"/>
      <c r="G89" s="734"/>
      <c r="K89" s="339"/>
      <c r="L89" s="339"/>
    </row>
    <row r="90" spans="1:12" x14ac:dyDescent="0.3">
      <c r="A90" s="372"/>
      <c r="B90" s="372"/>
      <c r="C90" s="726"/>
      <c r="D90" s="734"/>
      <c r="E90" s="372"/>
      <c r="F90" s="726"/>
      <c r="G90" s="734"/>
      <c r="K90" s="339"/>
      <c r="L90" s="339"/>
    </row>
    <row r="91" spans="1:12" x14ac:dyDescent="0.3">
      <c r="A91" s="526" t="s">
        <v>12</v>
      </c>
      <c r="B91" s="375" t="e">
        <v>#REF!</v>
      </c>
      <c r="C91" s="727" t="e">
        <v>#REF!</v>
      </c>
      <c r="D91" s="735" t="e">
        <v>#REF!</v>
      </c>
      <c r="E91" s="375">
        <v>0</v>
      </c>
      <c r="F91" s="727">
        <v>0</v>
      </c>
      <c r="G91" s="735">
        <v>0</v>
      </c>
      <c r="K91" s="339"/>
      <c r="L91" s="339"/>
    </row>
    <row r="92" spans="1:12" x14ac:dyDescent="0.3">
      <c r="A92" s="372" t="s">
        <v>316</v>
      </c>
      <c r="B92" s="372" t="e">
        <v>#REF!</v>
      </c>
      <c r="C92" s="726" t="e">
        <v>#REF!</v>
      </c>
      <c r="D92" s="734" t="e">
        <v>#REF!</v>
      </c>
      <c r="E92" s="372">
        <v>0</v>
      </c>
      <c r="F92" s="726"/>
      <c r="G92" s="734"/>
      <c r="K92" s="339"/>
      <c r="L92" s="339"/>
    </row>
    <row r="93" spans="1:12" x14ac:dyDescent="0.3">
      <c r="A93" s="372" t="s">
        <v>317</v>
      </c>
      <c r="B93" s="372" t="e">
        <v>#REF!</v>
      </c>
      <c r="C93" s="726" t="e">
        <v>#REF!</v>
      </c>
      <c r="D93" s="734" t="e">
        <v>#REF!</v>
      </c>
      <c r="E93" s="372">
        <v>0</v>
      </c>
      <c r="F93" s="726"/>
      <c r="G93" s="734"/>
      <c r="K93" s="339"/>
      <c r="L93" s="339"/>
    </row>
    <row r="94" spans="1:12" x14ac:dyDescent="0.3">
      <c r="A94" s="372" t="s">
        <v>318</v>
      </c>
      <c r="B94" s="372" t="e">
        <v>#REF!</v>
      </c>
      <c r="C94" s="726" t="e">
        <v>#REF!</v>
      </c>
      <c r="D94" s="734" t="e">
        <v>#REF!</v>
      </c>
      <c r="E94" s="372">
        <v>0</v>
      </c>
      <c r="F94" s="726"/>
      <c r="G94" s="734"/>
      <c r="K94" s="339"/>
      <c r="L94" s="339"/>
    </row>
    <row r="95" spans="1:12" x14ac:dyDescent="0.3">
      <c r="A95" s="372" t="s">
        <v>319</v>
      </c>
      <c r="B95" s="372" t="e">
        <v>#REF!</v>
      </c>
      <c r="C95" s="726" t="e">
        <v>#REF!</v>
      </c>
      <c r="D95" s="734" t="e">
        <v>#REF!</v>
      </c>
      <c r="E95" s="372">
        <v>0</v>
      </c>
      <c r="F95" s="726"/>
      <c r="G95" s="734"/>
      <c r="K95" s="339"/>
      <c r="L95" s="339"/>
    </row>
    <row r="96" spans="1:12" x14ac:dyDescent="0.3">
      <c r="A96" s="377"/>
      <c r="B96" s="377"/>
      <c r="C96" s="728"/>
      <c r="D96" s="736"/>
      <c r="E96" s="377"/>
      <c r="F96" s="728"/>
      <c r="G96" s="736"/>
      <c r="K96" s="339"/>
      <c r="L96" s="339"/>
    </row>
    <row r="97" spans="1:12" x14ac:dyDescent="0.3">
      <c r="C97" s="339"/>
      <c r="D97" s="339"/>
      <c r="F97" s="339"/>
      <c r="G97" s="339"/>
      <c r="K97" s="339"/>
      <c r="L97" s="339"/>
    </row>
    <row r="98" spans="1:12" x14ac:dyDescent="0.3">
      <c r="C98" s="339"/>
      <c r="D98" s="339"/>
      <c r="F98" s="339"/>
      <c r="G98" s="339"/>
      <c r="K98" s="339"/>
      <c r="L98" s="339"/>
    </row>
    <row r="99" spans="1:12" x14ac:dyDescent="0.3">
      <c r="C99" s="339"/>
      <c r="D99" s="339"/>
      <c r="F99" s="339"/>
      <c r="G99" s="339"/>
      <c r="K99" s="339"/>
      <c r="L99" s="339"/>
    </row>
    <row r="100" spans="1:12" x14ac:dyDescent="0.3">
      <c r="C100" s="339"/>
      <c r="D100" s="339"/>
      <c r="F100" s="339"/>
      <c r="G100" s="339"/>
      <c r="K100" s="339"/>
      <c r="L100" s="339"/>
    </row>
    <row r="101" spans="1:12" x14ac:dyDescent="0.3">
      <c r="C101" s="339"/>
      <c r="D101" s="339"/>
      <c r="F101" s="339"/>
      <c r="G101" s="339"/>
      <c r="K101" s="339"/>
      <c r="L101" s="339"/>
    </row>
    <row r="102" spans="1:12" x14ac:dyDescent="0.3">
      <c r="C102" s="339"/>
      <c r="D102" s="339"/>
      <c r="F102" s="339"/>
      <c r="G102" s="339"/>
      <c r="K102" s="339"/>
      <c r="L102" s="339"/>
    </row>
    <row r="103" spans="1:12" x14ac:dyDescent="0.3">
      <c r="C103" s="339"/>
      <c r="D103" s="339"/>
      <c r="F103" s="339"/>
      <c r="G103" s="339"/>
      <c r="K103" s="339"/>
      <c r="L103" s="339"/>
    </row>
    <row r="104" spans="1:12" x14ac:dyDescent="0.3">
      <c r="C104" s="339"/>
      <c r="D104" s="339"/>
      <c r="F104" s="339"/>
      <c r="G104" s="339"/>
      <c r="K104" s="339"/>
      <c r="L104" s="339"/>
    </row>
    <row r="105" spans="1:12" x14ac:dyDescent="0.3">
      <c r="C105" s="339"/>
      <c r="D105" s="339"/>
      <c r="F105" s="339"/>
      <c r="G105" s="339"/>
      <c r="K105" s="339"/>
      <c r="L105" s="339"/>
    </row>
    <row r="106" spans="1:12" x14ac:dyDescent="0.3">
      <c r="C106" s="339"/>
      <c r="D106" s="339"/>
      <c r="F106" s="339"/>
      <c r="G106" s="339"/>
      <c r="K106" s="339"/>
      <c r="L106" s="339"/>
    </row>
    <row r="107" spans="1:12" x14ac:dyDescent="0.3">
      <c r="C107" s="339"/>
      <c r="D107" s="339"/>
      <c r="F107" s="339"/>
      <c r="G107" s="339"/>
      <c r="K107" s="339"/>
      <c r="L107" s="339"/>
    </row>
    <row r="108" spans="1:12" x14ac:dyDescent="0.3">
      <c r="C108" s="339"/>
      <c r="D108" s="339"/>
      <c r="F108" s="339"/>
      <c r="G108" s="339"/>
      <c r="K108" s="339"/>
      <c r="L108" s="339"/>
    </row>
    <row r="109" spans="1:12" x14ac:dyDescent="0.3">
      <c r="C109" s="339"/>
      <c r="D109" s="339"/>
      <c r="F109" s="339"/>
      <c r="G109" s="339"/>
      <c r="K109" s="339"/>
      <c r="L109" s="339"/>
    </row>
    <row r="110" spans="1:12" x14ac:dyDescent="0.3">
      <c r="C110" s="339"/>
      <c r="D110" s="339"/>
      <c r="F110" s="339"/>
      <c r="G110" s="339"/>
      <c r="K110" s="339"/>
      <c r="L110" s="339"/>
    </row>
    <row r="111" spans="1:12" x14ac:dyDescent="0.3">
      <c r="A111" s="3516" t="s">
        <v>0</v>
      </c>
      <c r="B111" s="3520" t="s">
        <v>4</v>
      </c>
      <c r="C111" s="3520"/>
      <c r="D111" s="3520"/>
      <c r="E111" s="3520" t="s">
        <v>20</v>
      </c>
      <c r="F111" s="3520"/>
      <c r="G111" s="3520"/>
      <c r="K111" s="339"/>
      <c r="L111" s="339"/>
    </row>
    <row r="112" spans="1:12" x14ac:dyDescent="0.3">
      <c r="A112" s="3517"/>
      <c r="B112" s="380" t="s">
        <v>28</v>
      </c>
      <c r="C112" s="723" t="s">
        <v>34</v>
      </c>
      <c r="D112" s="731" t="s">
        <v>62</v>
      </c>
      <c r="E112" s="380" t="s">
        <v>28</v>
      </c>
      <c r="F112" s="723" t="s">
        <v>34</v>
      </c>
      <c r="G112" s="731" t="s">
        <v>62</v>
      </c>
      <c r="K112" s="339"/>
      <c r="L112" s="339"/>
    </row>
    <row r="113" spans="1:12" ht="19.5" thickBot="1" x14ac:dyDescent="0.35">
      <c r="A113" s="525" t="s">
        <v>28</v>
      </c>
      <c r="B113" s="367" t="e">
        <v>#REF!</v>
      </c>
      <c r="C113" s="724" t="e">
        <v>#REF!</v>
      </c>
      <c r="D113" s="732" t="e">
        <v>#REF!</v>
      </c>
      <c r="E113" s="367" t="e">
        <v>#REF!</v>
      </c>
      <c r="F113" s="724" t="e">
        <v>#REF!</v>
      </c>
      <c r="G113" s="732" t="e">
        <v>#REF!</v>
      </c>
      <c r="K113" s="339"/>
      <c r="L113" s="339"/>
    </row>
    <row r="114" spans="1:12" ht="19.5" thickTop="1" x14ac:dyDescent="0.3">
      <c r="A114" s="369" t="s">
        <v>7</v>
      </c>
      <c r="B114" s="370" t="e">
        <v>#REF!</v>
      </c>
      <c r="C114" s="725" t="e">
        <v>#REF!</v>
      </c>
      <c r="D114" s="733" t="e">
        <v>#REF!</v>
      </c>
      <c r="E114" s="370" t="e">
        <v>#REF!</v>
      </c>
      <c r="F114" s="725" t="e">
        <v>#REF!</v>
      </c>
      <c r="G114" s="733" t="e">
        <v>#REF!</v>
      </c>
      <c r="K114" s="339"/>
      <c r="L114" s="339"/>
    </row>
    <row r="115" spans="1:12" x14ac:dyDescent="0.3">
      <c r="A115" s="398" t="s">
        <v>8</v>
      </c>
      <c r="B115" s="372" t="e">
        <v>#REF!</v>
      </c>
      <c r="C115" s="726" t="e">
        <v>#REF!</v>
      </c>
      <c r="D115" s="734" t="e">
        <v>#REF!</v>
      </c>
      <c r="E115" s="372" t="e">
        <v>#REF!</v>
      </c>
      <c r="F115" s="726" t="e">
        <v>#REF!</v>
      </c>
      <c r="G115" s="734" t="e">
        <v>#REF!</v>
      </c>
      <c r="K115" s="339"/>
      <c r="L115" s="339"/>
    </row>
    <row r="116" spans="1:12" x14ac:dyDescent="0.3">
      <c r="A116" s="398" t="s">
        <v>306</v>
      </c>
      <c r="B116" s="372" t="e">
        <v>#REF!</v>
      </c>
      <c r="C116" s="726" t="e">
        <v>#REF!</v>
      </c>
      <c r="D116" s="734" t="e">
        <v>#REF!</v>
      </c>
      <c r="E116" s="372" t="e">
        <v>#REF!</v>
      </c>
      <c r="F116" s="726" t="e">
        <v>#REF!</v>
      </c>
      <c r="G116" s="734" t="e">
        <v>#REF!</v>
      </c>
      <c r="K116" s="339"/>
      <c r="L116" s="339"/>
    </row>
    <row r="117" spans="1:12" x14ac:dyDescent="0.3">
      <c r="A117" s="372"/>
      <c r="B117" s="372"/>
      <c r="C117" s="726"/>
      <c r="D117" s="734"/>
      <c r="E117" s="372"/>
      <c r="F117" s="726"/>
      <c r="G117" s="734"/>
      <c r="K117" s="339"/>
      <c r="L117" s="339"/>
    </row>
    <row r="118" spans="1:12" x14ac:dyDescent="0.3">
      <c r="A118" s="526" t="s">
        <v>9</v>
      </c>
      <c r="B118" s="375" t="e">
        <v>#REF!</v>
      </c>
      <c r="C118" s="727" t="e">
        <v>#REF!</v>
      </c>
      <c r="D118" s="735" t="e">
        <v>#REF!</v>
      </c>
      <c r="E118" s="375" t="e">
        <v>#REF!</v>
      </c>
      <c r="F118" s="727" t="e">
        <v>#REF!</v>
      </c>
      <c r="G118" s="735" t="e">
        <v>#REF!</v>
      </c>
      <c r="K118" s="339"/>
      <c r="L118" s="339"/>
    </row>
    <row r="119" spans="1:12" x14ac:dyDescent="0.3">
      <c r="A119" s="372" t="s">
        <v>308</v>
      </c>
      <c r="B119" s="372" t="e">
        <v>#REF!</v>
      </c>
      <c r="C119" s="726" t="e">
        <v>#REF!</v>
      </c>
      <c r="D119" s="734" t="e">
        <v>#REF!</v>
      </c>
      <c r="E119" s="372" t="e">
        <v>#REF!</v>
      </c>
      <c r="F119" s="726" t="e">
        <v>#REF!</v>
      </c>
      <c r="G119" s="734" t="e">
        <v>#REF!</v>
      </c>
      <c r="K119" s="339"/>
      <c r="L119" s="339"/>
    </row>
    <row r="120" spans="1:12" x14ac:dyDescent="0.3">
      <c r="A120" s="372" t="s">
        <v>309</v>
      </c>
      <c r="B120" s="372" t="e">
        <v>#REF!</v>
      </c>
      <c r="C120" s="726" t="e">
        <v>#REF!</v>
      </c>
      <c r="D120" s="734" t="e">
        <v>#REF!</v>
      </c>
      <c r="E120" s="372" t="e">
        <v>#REF!</v>
      </c>
      <c r="F120" s="726" t="e">
        <v>#REF!</v>
      </c>
      <c r="G120" s="734" t="e">
        <v>#REF!</v>
      </c>
      <c r="K120" s="339"/>
      <c r="L120" s="339"/>
    </row>
    <row r="121" spans="1:12" x14ac:dyDescent="0.3">
      <c r="A121" s="372" t="s">
        <v>310</v>
      </c>
      <c r="B121" s="372" t="e">
        <v>#REF!</v>
      </c>
      <c r="C121" s="726" t="e">
        <v>#REF!</v>
      </c>
      <c r="D121" s="734" t="e">
        <v>#REF!</v>
      </c>
      <c r="E121" s="372" t="e">
        <v>#REF!</v>
      </c>
      <c r="F121" s="726" t="e">
        <v>#REF!</v>
      </c>
      <c r="G121" s="734" t="e">
        <v>#REF!</v>
      </c>
      <c r="K121" s="339"/>
      <c r="L121" s="339"/>
    </row>
    <row r="122" spans="1:12" x14ac:dyDescent="0.3">
      <c r="A122" s="372" t="s">
        <v>311</v>
      </c>
      <c r="B122" s="372" t="e">
        <v>#REF!</v>
      </c>
      <c r="C122" s="726" t="e">
        <v>#REF!</v>
      </c>
      <c r="D122" s="734" t="e">
        <v>#REF!</v>
      </c>
      <c r="E122" s="372" t="e">
        <v>#REF!</v>
      </c>
      <c r="F122" s="726" t="e">
        <v>#REF!</v>
      </c>
      <c r="G122" s="734" t="e">
        <v>#REF!</v>
      </c>
      <c r="K122" s="339"/>
      <c r="L122" s="339"/>
    </row>
    <row r="123" spans="1:12" x14ac:dyDescent="0.3">
      <c r="A123" s="372" t="s">
        <v>312</v>
      </c>
      <c r="B123" s="372" t="e">
        <v>#REF!</v>
      </c>
      <c r="C123" s="726" t="e">
        <v>#REF!</v>
      </c>
      <c r="D123" s="734" t="e">
        <v>#REF!</v>
      </c>
      <c r="E123" s="372" t="e">
        <v>#REF!</v>
      </c>
      <c r="F123" s="726" t="e">
        <v>#REF!</v>
      </c>
      <c r="G123" s="734" t="e">
        <v>#REF!</v>
      </c>
      <c r="K123" s="339"/>
      <c r="L123" s="339"/>
    </row>
    <row r="124" spans="1:12" x14ac:dyDescent="0.3">
      <c r="A124" s="372" t="s">
        <v>313</v>
      </c>
      <c r="B124" s="372" t="e">
        <v>#REF!</v>
      </c>
      <c r="C124" s="726" t="e">
        <v>#REF!</v>
      </c>
      <c r="D124" s="734" t="e">
        <v>#REF!</v>
      </c>
      <c r="E124" s="372" t="e">
        <v>#REF!</v>
      </c>
      <c r="F124" s="726" t="e">
        <v>#REF!</v>
      </c>
      <c r="G124" s="734" t="e">
        <v>#REF!</v>
      </c>
      <c r="K124" s="339"/>
      <c r="L124" s="339"/>
    </row>
    <row r="125" spans="1:12" x14ac:dyDescent="0.3">
      <c r="A125" s="372" t="s">
        <v>314</v>
      </c>
      <c r="B125" s="372"/>
      <c r="C125" s="726" t="e">
        <v>#REF!</v>
      </c>
      <c r="D125" s="734" t="e">
        <v>#REF!</v>
      </c>
      <c r="E125" s="372"/>
      <c r="F125" s="726" t="e">
        <v>#REF!</v>
      </c>
      <c r="G125" s="734" t="e">
        <v>#REF!</v>
      </c>
      <c r="K125" s="339"/>
      <c r="L125" s="339"/>
    </row>
    <row r="126" spans="1:12" x14ac:dyDescent="0.3">
      <c r="A126" s="372" t="s">
        <v>315</v>
      </c>
      <c r="B126" s="372"/>
      <c r="C126" s="726" t="e">
        <v>#REF!</v>
      </c>
      <c r="D126" s="734" t="e">
        <v>#REF!</v>
      </c>
      <c r="E126" s="372"/>
      <c r="F126" s="726" t="e">
        <v>#REF!</v>
      </c>
      <c r="G126" s="734" t="e">
        <v>#REF!</v>
      </c>
      <c r="K126" s="339"/>
      <c r="L126" s="339"/>
    </row>
    <row r="127" spans="1:12" x14ac:dyDescent="0.3">
      <c r="A127" s="372"/>
      <c r="B127" s="372"/>
      <c r="C127" s="726"/>
      <c r="D127" s="734"/>
      <c r="E127" s="372"/>
      <c r="F127" s="726"/>
      <c r="G127" s="734"/>
      <c r="K127" s="339"/>
      <c r="L127" s="339"/>
    </row>
    <row r="128" spans="1:12" x14ac:dyDescent="0.3">
      <c r="A128" s="526" t="s">
        <v>12</v>
      </c>
      <c r="B128" s="375" t="e">
        <v>#REF!</v>
      </c>
      <c r="C128" s="727" t="e">
        <v>#REF!</v>
      </c>
      <c r="D128" s="735" t="e">
        <v>#REF!</v>
      </c>
      <c r="E128" s="375" t="e">
        <v>#REF!</v>
      </c>
      <c r="F128" s="727" t="e">
        <v>#REF!</v>
      </c>
      <c r="G128" s="735" t="e">
        <v>#REF!</v>
      </c>
      <c r="K128" s="339"/>
      <c r="L128" s="339"/>
    </row>
    <row r="129" spans="1:12" x14ac:dyDescent="0.3">
      <c r="A129" s="372" t="s">
        <v>316</v>
      </c>
      <c r="B129" s="372" t="e">
        <v>#REF!</v>
      </c>
      <c r="C129" s="726" t="e">
        <v>#REF!</v>
      </c>
      <c r="D129" s="734" t="e">
        <v>#REF!</v>
      </c>
      <c r="E129" s="372" t="e">
        <v>#REF!</v>
      </c>
      <c r="F129" s="726" t="e">
        <v>#REF!</v>
      </c>
      <c r="G129" s="734" t="e">
        <v>#REF!</v>
      </c>
      <c r="K129" s="339"/>
      <c r="L129" s="339"/>
    </row>
    <row r="130" spans="1:12" x14ac:dyDescent="0.3">
      <c r="A130" s="372" t="s">
        <v>317</v>
      </c>
      <c r="B130" s="372" t="e">
        <v>#REF!</v>
      </c>
      <c r="C130" s="726" t="e">
        <v>#REF!</v>
      </c>
      <c r="D130" s="734" t="e">
        <v>#REF!</v>
      </c>
      <c r="E130" s="372" t="e">
        <v>#REF!</v>
      </c>
      <c r="F130" s="726" t="e">
        <v>#REF!</v>
      </c>
      <c r="G130" s="734" t="e">
        <v>#REF!</v>
      </c>
      <c r="K130" s="339"/>
      <c r="L130" s="339"/>
    </row>
    <row r="131" spans="1:12" x14ac:dyDescent="0.3">
      <c r="A131" s="372" t="s">
        <v>318</v>
      </c>
      <c r="B131" s="372" t="e">
        <v>#REF!</v>
      </c>
      <c r="C131" s="726" t="e">
        <v>#REF!</v>
      </c>
      <c r="D131" s="734" t="e">
        <v>#REF!</v>
      </c>
      <c r="E131" s="372" t="e">
        <v>#REF!</v>
      </c>
      <c r="F131" s="726" t="e">
        <v>#REF!</v>
      </c>
      <c r="G131" s="734" t="e">
        <v>#REF!</v>
      </c>
      <c r="K131" s="339"/>
      <c r="L131" s="339"/>
    </row>
    <row r="132" spans="1:12" x14ac:dyDescent="0.3">
      <c r="A132" s="372" t="s">
        <v>319</v>
      </c>
      <c r="B132" s="372" t="e">
        <v>#REF!</v>
      </c>
      <c r="C132" s="729" t="e">
        <v>#REF!</v>
      </c>
      <c r="D132" s="734" t="e">
        <v>#REF!</v>
      </c>
      <c r="E132" s="372" t="e">
        <v>#REF!</v>
      </c>
      <c r="F132" s="726" t="e">
        <v>#REF!</v>
      </c>
      <c r="G132" s="734" t="e">
        <v>#REF!</v>
      </c>
      <c r="K132" s="339"/>
      <c r="L132" s="339"/>
    </row>
    <row r="133" spans="1:12" x14ac:dyDescent="0.3">
      <c r="A133" s="377"/>
      <c r="B133" s="377"/>
      <c r="C133" s="728"/>
      <c r="D133" s="736"/>
      <c r="E133" s="377"/>
      <c r="F133" s="728"/>
      <c r="G133" s="736"/>
      <c r="K133" s="339"/>
      <c r="L133" s="339"/>
    </row>
    <row r="134" spans="1:12" x14ac:dyDescent="0.3">
      <c r="C134" s="339"/>
      <c r="D134" s="339"/>
      <c r="F134" s="339"/>
      <c r="G134" s="339"/>
      <c r="K134" s="339"/>
      <c r="L134" s="339"/>
    </row>
    <row r="135" spans="1:12" x14ac:dyDescent="0.3">
      <c r="C135" s="339"/>
      <c r="D135" s="339"/>
      <c r="F135" s="339"/>
      <c r="G135" s="339"/>
      <c r="K135" s="339"/>
      <c r="L135" s="339"/>
    </row>
    <row r="136" spans="1:12" x14ac:dyDescent="0.3">
      <c r="C136" s="339"/>
      <c r="D136" s="339"/>
      <c r="F136" s="339"/>
      <c r="G136" s="339"/>
      <c r="K136" s="339"/>
      <c r="L136" s="339"/>
    </row>
    <row r="137" spans="1:12" x14ac:dyDescent="0.3">
      <c r="C137" s="339"/>
      <c r="D137" s="339"/>
      <c r="F137" s="339"/>
      <c r="G137" s="339"/>
      <c r="K137" s="339"/>
      <c r="L137" s="339"/>
    </row>
    <row r="138" spans="1:12" x14ac:dyDescent="0.3">
      <c r="C138" s="339"/>
      <c r="D138" s="339"/>
      <c r="F138" s="339"/>
      <c r="G138" s="339"/>
      <c r="K138" s="339"/>
      <c r="L138" s="339"/>
    </row>
    <row r="139" spans="1:12" x14ac:dyDescent="0.3">
      <c r="C139" s="339"/>
      <c r="D139" s="339"/>
      <c r="F139" s="339"/>
      <c r="G139" s="339"/>
      <c r="K139" s="339"/>
      <c r="L139" s="339"/>
    </row>
    <row r="140" spans="1:12" x14ac:dyDescent="0.3">
      <c r="C140" s="339"/>
      <c r="D140" s="339"/>
      <c r="F140" s="339"/>
      <c r="G140" s="339"/>
      <c r="K140" s="339"/>
      <c r="L140" s="339"/>
    </row>
    <row r="141" spans="1:12" x14ac:dyDescent="0.3">
      <c r="C141" s="339"/>
      <c r="D141" s="339"/>
      <c r="F141" s="339"/>
      <c r="G141" s="339"/>
      <c r="K141" s="339"/>
      <c r="L141" s="339"/>
    </row>
    <row r="142" spans="1:12" x14ac:dyDescent="0.3">
      <c r="C142" s="339"/>
      <c r="D142" s="339"/>
      <c r="F142" s="339"/>
      <c r="G142" s="339"/>
      <c r="K142" s="339"/>
      <c r="L142" s="339"/>
    </row>
    <row r="143" spans="1:12" x14ac:dyDescent="0.3">
      <c r="C143" s="339"/>
      <c r="D143" s="339"/>
      <c r="F143" s="339"/>
      <c r="G143" s="339"/>
      <c r="K143" s="339"/>
      <c r="L143" s="339"/>
    </row>
    <row r="144" spans="1:12" x14ac:dyDescent="0.3">
      <c r="C144" s="339"/>
      <c r="D144" s="339"/>
      <c r="F144" s="339"/>
      <c r="G144" s="339"/>
      <c r="K144" s="339"/>
      <c r="L144" s="339"/>
    </row>
    <row r="145" spans="1:12" x14ac:dyDescent="0.3">
      <c r="C145" s="339"/>
      <c r="D145" s="339"/>
      <c r="F145" s="339"/>
      <c r="G145" s="339"/>
      <c r="K145" s="339"/>
      <c r="L145" s="339"/>
    </row>
    <row r="146" spans="1:12" x14ac:dyDescent="0.3">
      <c r="C146" s="339"/>
      <c r="D146" s="339"/>
      <c r="F146" s="339"/>
      <c r="G146" s="339"/>
      <c r="K146" s="339"/>
      <c r="L146" s="339"/>
    </row>
    <row r="147" spans="1:12" x14ac:dyDescent="0.3">
      <c r="C147" s="339"/>
      <c r="D147" s="339"/>
      <c r="F147" s="339"/>
      <c r="G147" s="339"/>
      <c r="K147" s="339"/>
      <c r="L147" s="339"/>
    </row>
    <row r="148" spans="1:12" x14ac:dyDescent="0.3">
      <c r="A148" s="3516" t="s">
        <v>0</v>
      </c>
      <c r="B148" s="3520" t="s">
        <v>5</v>
      </c>
      <c r="C148" s="3520"/>
      <c r="D148" s="3520"/>
      <c r="E148" s="3520" t="s">
        <v>21</v>
      </c>
      <c r="F148" s="3520"/>
      <c r="G148" s="3520"/>
      <c r="K148" s="339"/>
      <c r="L148" s="339"/>
    </row>
    <row r="149" spans="1:12" x14ac:dyDescent="0.3">
      <c r="A149" s="3517"/>
      <c r="B149" s="380" t="s">
        <v>28</v>
      </c>
      <c r="C149" s="723" t="s">
        <v>34</v>
      </c>
      <c r="D149" s="731" t="s">
        <v>62</v>
      </c>
      <c r="E149" s="380" t="s">
        <v>28</v>
      </c>
      <c r="F149" s="723" t="s">
        <v>34</v>
      </c>
      <c r="G149" s="731" t="s">
        <v>62</v>
      </c>
      <c r="K149" s="339"/>
      <c r="L149" s="339"/>
    </row>
    <row r="150" spans="1:12" ht="19.5" thickBot="1" x14ac:dyDescent="0.35">
      <c r="A150" s="525" t="s">
        <v>28</v>
      </c>
      <c r="B150" s="367" t="e">
        <v>#REF!</v>
      </c>
      <c r="C150" s="724" t="e">
        <v>#REF!</v>
      </c>
      <c r="D150" s="732" t="e">
        <v>#REF!</v>
      </c>
      <c r="E150" s="367">
        <v>0</v>
      </c>
      <c r="F150" s="724">
        <v>0</v>
      </c>
      <c r="G150" s="732">
        <v>385</v>
      </c>
      <c r="K150" s="339"/>
      <c r="L150" s="339"/>
    </row>
    <row r="151" spans="1:12" ht="19.5" thickTop="1" x14ac:dyDescent="0.3">
      <c r="A151" s="369" t="s">
        <v>7</v>
      </c>
      <c r="B151" s="370" t="e">
        <v>#REF!</v>
      </c>
      <c r="C151" s="725" t="e">
        <v>#REF!</v>
      </c>
      <c r="D151" s="733" t="e">
        <v>#REF!</v>
      </c>
      <c r="E151" s="370">
        <v>0</v>
      </c>
      <c r="F151" s="725">
        <v>0</v>
      </c>
      <c r="G151" s="733">
        <v>0</v>
      </c>
      <c r="K151" s="339"/>
      <c r="L151" s="339"/>
    </row>
    <row r="152" spans="1:12" x14ac:dyDescent="0.3">
      <c r="A152" s="398" t="s">
        <v>8</v>
      </c>
      <c r="B152" s="372" t="e">
        <v>#REF!</v>
      </c>
      <c r="C152" s="726">
        <v>0</v>
      </c>
      <c r="D152" s="734" t="e">
        <v>#REF!</v>
      </c>
      <c r="E152" s="372">
        <v>0</v>
      </c>
      <c r="F152" s="726">
        <v>0</v>
      </c>
      <c r="G152" s="734">
        <v>0</v>
      </c>
      <c r="K152" s="339"/>
      <c r="L152" s="339"/>
    </row>
    <row r="153" spans="1:12" x14ac:dyDescent="0.3">
      <c r="A153" s="398" t="s">
        <v>306</v>
      </c>
      <c r="B153" s="372" t="e">
        <v>#REF!</v>
      </c>
      <c r="C153" s="726" t="e">
        <v>#REF!</v>
      </c>
      <c r="D153" s="734" t="e">
        <v>#REF!</v>
      </c>
      <c r="E153" s="372">
        <v>0</v>
      </c>
      <c r="F153" s="726">
        <v>0</v>
      </c>
      <c r="G153" s="734">
        <v>0</v>
      </c>
      <c r="K153" s="339"/>
      <c r="L153" s="339"/>
    </row>
    <row r="154" spans="1:12" x14ac:dyDescent="0.3">
      <c r="A154" s="372"/>
      <c r="B154" s="372"/>
      <c r="C154" s="726"/>
      <c r="D154" s="734"/>
      <c r="E154" s="372"/>
      <c r="F154" s="726"/>
      <c r="G154" s="734"/>
      <c r="K154" s="339"/>
      <c r="L154" s="339"/>
    </row>
    <row r="155" spans="1:12" x14ac:dyDescent="0.3">
      <c r="A155" s="526" t="s">
        <v>9</v>
      </c>
      <c r="B155" s="527" t="e">
        <v>#REF!</v>
      </c>
      <c r="C155" s="727" t="e">
        <v>#REF!</v>
      </c>
      <c r="D155" s="738" t="e">
        <v>#REF!</v>
      </c>
      <c r="E155" s="375">
        <v>0</v>
      </c>
      <c r="F155" s="727">
        <v>0</v>
      </c>
      <c r="G155" s="735">
        <v>385</v>
      </c>
      <c r="K155" s="339"/>
      <c r="L155" s="339"/>
    </row>
    <row r="156" spans="1:12" x14ac:dyDescent="0.3">
      <c r="A156" s="372" t="s">
        <v>308</v>
      </c>
      <c r="B156" s="381" t="e">
        <v>#REF!</v>
      </c>
      <c r="C156" s="726">
        <v>0</v>
      </c>
      <c r="D156" s="739" t="e">
        <v>#REF!</v>
      </c>
      <c r="E156" s="372">
        <v>0</v>
      </c>
      <c r="F156" s="726">
        <v>0</v>
      </c>
      <c r="G156" s="734">
        <v>0</v>
      </c>
      <c r="K156" s="339"/>
      <c r="L156" s="339"/>
    </row>
    <row r="157" spans="1:12" x14ac:dyDescent="0.3">
      <c r="A157" s="372" t="s">
        <v>309</v>
      </c>
      <c r="B157" s="372" t="e">
        <v>#REF!</v>
      </c>
      <c r="C157" s="726" t="e">
        <v>#REF!</v>
      </c>
      <c r="D157" s="734" t="e">
        <v>#REF!</v>
      </c>
      <c r="E157" s="372">
        <v>0</v>
      </c>
      <c r="F157" s="726">
        <v>0</v>
      </c>
      <c r="G157" s="734">
        <v>0</v>
      </c>
      <c r="K157" s="339"/>
      <c r="L157" s="339"/>
    </row>
    <row r="158" spans="1:12" x14ac:dyDescent="0.3">
      <c r="A158" s="372" t="s">
        <v>310</v>
      </c>
      <c r="B158" s="372" t="e">
        <v>#REF!</v>
      </c>
      <c r="C158" s="726" t="e">
        <v>#REF!</v>
      </c>
      <c r="D158" s="734" t="e">
        <v>#REF!</v>
      </c>
      <c r="E158" s="372">
        <v>0</v>
      </c>
      <c r="F158" s="726">
        <v>0</v>
      </c>
      <c r="G158" s="734">
        <v>0</v>
      </c>
      <c r="K158" s="339"/>
      <c r="L158" s="339"/>
    </row>
    <row r="159" spans="1:12" x14ac:dyDescent="0.3">
      <c r="A159" s="372" t="s">
        <v>311</v>
      </c>
      <c r="B159" s="372" t="e">
        <v>#REF!</v>
      </c>
      <c r="C159" s="726" t="e">
        <v>#REF!</v>
      </c>
      <c r="D159" s="734" t="e">
        <v>#REF!</v>
      </c>
      <c r="E159" s="372">
        <v>0</v>
      </c>
      <c r="F159" s="726">
        <v>0</v>
      </c>
      <c r="G159" s="734">
        <v>0</v>
      </c>
      <c r="K159" s="339"/>
      <c r="L159" s="339"/>
    </row>
    <row r="160" spans="1:12" x14ac:dyDescent="0.3">
      <c r="A160" s="372" t="s">
        <v>312</v>
      </c>
      <c r="B160" s="372" t="e">
        <v>#REF!</v>
      </c>
      <c r="C160" s="726" t="e">
        <v>#REF!</v>
      </c>
      <c r="D160" s="734" t="e">
        <v>#REF!</v>
      </c>
      <c r="E160" s="372">
        <v>0</v>
      </c>
      <c r="F160" s="726">
        <v>0</v>
      </c>
      <c r="G160" s="734">
        <v>0</v>
      </c>
      <c r="K160" s="339"/>
      <c r="L160" s="339"/>
    </row>
    <row r="161" spans="1:12" x14ac:dyDescent="0.3">
      <c r="A161" s="372" t="s">
        <v>313</v>
      </c>
      <c r="B161" s="372" t="e">
        <v>#REF!</v>
      </c>
      <c r="C161" s="726" t="e">
        <v>#REF!</v>
      </c>
      <c r="D161" s="734" t="e">
        <v>#REF!</v>
      </c>
      <c r="E161" s="372">
        <v>0</v>
      </c>
      <c r="F161" s="726">
        <v>0</v>
      </c>
      <c r="G161" s="734">
        <v>0</v>
      </c>
      <c r="K161" s="339"/>
      <c r="L161" s="339"/>
    </row>
    <row r="162" spans="1:12" x14ac:dyDescent="0.3">
      <c r="A162" s="372" t="s">
        <v>314</v>
      </c>
      <c r="B162" s="372" t="e">
        <v>#REF!</v>
      </c>
      <c r="C162" s="726" t="e">
        <v>#REF!</v>
      </c>
      <c r="D162" s="734"/>
      <c r="E162" s="372"/>
      <c r="F162" s="726">
        <v>0</v>
      </c>
      <c r="G162" s="734">
        <v>0</v>
      </c>
      <c r="K162" s="339"/>
      <c r="L162" s="339"/>
    </row>
    <row r="163" spans="1:12" x14ac:dyDescent="0.3">
      <c r="A163" s="372" t="s">
        <v>315</v>
      </c>
      <c r="B163" s="372" t="e">
        <v>#REF!</v>
      </c>
      <c r="C163" s="726" t="e">
        <v>#REF!</v>
      </c>
      <c r="D163" s="734" t="e">
        <v>#REF!</v>
      </c>
      <c r="E163" s="372"/>
      <c r="F163" s="726">
        <v>0</v>
      </c>
      <c r="G163" s="734">
        <v>385</v>
      </c>
      <c r="K163" s="339"/>
      <c r="L163" s="339"/>
    </row>
    <row r="164" spans="1:12" x14ac:dyDescent="0.3">
      <c r="A164" s="372" t="s">
        <v>390</v>
      </c>
      <c r="B164" s="372"/>
      <c r="C164" s="726"/>
      <c r="D164" s="734"/>
      <c r="E164" s="372"/>
      <c r="F164" s="726">
        <v>0</v>
      </c>
      <c r="G164" s="734">
        <v>0</v>
      </c>
      <c r="K164" s="339"/>
      <c r="L164" s="339"/>
    </row>
    <row r="165" spans="1:12" x14ac:dyDescent="0.3">
      <c r="A165" s="526" t="s">
        <v>12</v>
      </c>
      <c r="B165" s="375" t="e">
        <v>#REF!</v>
      </c>
      <c r="C165" s="727" t="e">
        <v>#REF!</v>
      </c>
      <c r="D165" s="735" t="e">
        <v>#REF!</v>
      </c>
      <c r="E165" s="375">
        <v>0</v>
      </c>
      <c r="F165" s="727">
        <v>0</v>
      </c>
      <c r="G165" s="735">
        <v>0</v>
      </c>
      <c r="K165" s="339"/>
      <c r="L165" s="339"/>
    </row>
    <row r="166" spans="1:12" x14ac:dyDescent="0.3">
      <c r="A166" s="372" t="s">
        <v>391</v>
      </c>
      <c r="B166" s="372" t="e">
        <v>#REF!</v>
      </c>
      <c r="C166" s="726" t="e">
        <v>#REF!</v>
      </c>
      <c r="D166" s="734" t="e">
        <v>#REF!</v>
      </c>
      <c r="E166" s="372">
        <v>0</v>
      </c>
      <c r="F166" s="726">
        <v>0</v>
      </c>
      <c r="G166" s="734">
        <v>0</v>
      </c>
      <c r="K166" s="339"/>
      <c r="L166" s="339"/>
    </row>
    <row r="167" spans="1:12" x14ac:dyDescent="0.3">
      <c r="A167" s="372" t="s">
        <v>392</v>
      </c>
      <c r="B167" s="372" t="e">
        <v>#REF!</v>
      </c>
      <c r="C167" s="726" t="e">
        <v>#REF!</v>
      </c>
      <c r="D167" s="734" t="e">
        <v>#REF!</v>
      </c>
      <c r="E167" s="372">
        <v>0</v>
      </c>
      <c r="F167" s="726">
        <v>0</v>
      </c>
      <c r="G167" s="734">
        <v>0</v>
      </c>
      <c r="K167" s="339"/>
      <c r="L167" s="339"/>
    </row>
    <row r="168" spans="1:12" x14ac:dyDescent="0.3">
      <c r="A168" s="372" t="s">
        <v>393</v>
      </c>
      <c r="B168" s="372" t="e">
        <v>#REF!</v>
      </c>
      <c r="C168" s="726" t="e">
        <v>#REF!</v>
      </c>
      <c r="D168" s="734" t="e">
        <v>#REF!</v>
      </c>
      <c r="E168" s="372">
        <v>0</v>
      </c>
      <c r="F168" s="726">
        <v>0</v>
      </c>
      <c r="G168" s="734">
        <v>0</v>
      </c>
      <c r="K168" s="339"/>
      <c r="L168" s="339"/>
    </row>
    <row r="169" spans="1:12" x14ac:dyDescent="0.3">
      <c r="A169" s="372" t="s">
        <v>394</v>
      </c>
      <c r="B169" s="372" t="e">
        <v>#REF!</v>
      </c>
      <c r="C169" s="726" t="e">
        <v>#REF!</v>
      </c>
      <c r="D169" s="734" t="e">
        <v>#REF!</v>
      </c>
      <c r="E169" s="372">
        <v>0</v>
      </c>
      <c r="F169" s="726">
        <v>0</v>
      </c>
      <c r="G169" s="734">
        <v>0</v>
      </c>
      <c r="K169" s="339"/>
      <c r="L169" s="339"/>
    </row>
    <row r="170" spans="1:12" x14ac:dyDescent="0.3">
      <c r="A170" s="377"/>
      <c r="B170" s="377"/>
      <c r="C170" s="728"/>
      <c r="D170" s="736"/>
      <c r="E170" s="377"/>
      <c r="F170" s="728"/>
      <c r="G170" s="736"/>
      <c r="K170" s="339"/>
      <c r="L170" s="339"/>
    </row>
    <row r="171" spans="1:12" x14ac:dyDescent="0.3">
      <c r="C171" s="339"/>
      <c r="D171" s="339"/>
      <c r="F171" s="339"/>
      <c r="G171" s="339"/>
      <c r="K171" s="339"/>
      <c r="L171" s="339"/>
    </row>
    <row r="172" spans="1:12" x14ac:dyDescent="0.3">
      <c r="C172" s="339"/>
      <c r="D172" s="339"/>
      <c r="F172" s="339"/>
      <c r="G172" s="339"/>
      <c r="K172" s="339"/>
      <c r="L172" s="339"/>
    </row>
    <row r="173" spans="1:12" x14ac:dyDescent="0.3">
      <c r="C173" s="339"/>
      <c r="D173" s="339"/>
      <c r="F173" s="339"/>
      <c r="G173" s="339"/>
      <c r="K173" s="339"/>
      <c r="L173" s="339"/>
    </row>
    <row r="174" spans="1:12" x14ac:dyDescent="0.3">
      <c r="C174" s="339"/>
      <c r="D174" s="339"/>
      <c r="F174" s="339"/>
      <c r="G174" s="339"/>
      <c r="K174" s="339"/>
      <c r="L174" s="339"/>
    </row>
    <row r="175" spans="1:12" x14ac:dyDescent="0.3">
      <c r="C175" s="339"/>
      <c r="D175" s="339"/>
      <c r="F175" s="339"/>
      <c r="G175" s="339"/>
      <c r="K175" s="339"/>
      <c r="L175" s="339"/>
    </row>
    <row r="176" spans="1:12" x14ac:dyDescent="0.3">
      <c r="C176" s="339"/>
      <c r="D176" s="339"/>
      <c r="F176" s="339"/>
      <c r="G176" s="339"/>
      <c r="K176" s="339"/>
      <c r="L176" s="339"/>
    </row>
    <row r="177" s="339" customFormat="1" x14ac:dyDescent="0.3"/>
    <row r="178" s="339" customFormat="1" x14ac:dyDescent="0.3"/>
    <row r="179" s="339" customFormat="1" x14ac:dyDescent="0.3"/>
    <row r="180" s="339" customFormat="1" x14ac:dyDescent="0.3"/>
    <row r="181" s="339" customFormat="1" x14ac:dyDescent="0.3"/>
    <row r="182" s="339" customFormat="1" x14ac:dyDescent="0.3"/>
    <row r="183" s="339" customFormat="1" x14ac:dyDescent="0.3"/>
    <row r="184" s="339" customFormat="1" x14ac:dyDescent="0.3"/>
    <row r="185" s="339" customFormat="1" x14ac:dyDescent="0.3"/>
    <row r="186" s="339" customFormat="1" x14ac:dyDescent="0.3"/>
    <row r="187" s="339" customFormat="1" x14ac:dyDescent="0.3"/>
    <row r="188" s="339" customFormat="1" x14ac:dyDescent="0.3"/>
    <row r="189" s="339" customFormat="1" x14ac:dyDescent="0.3"/>
    <row r="190" s="339" customFormat="1" x14ac:dyDescent="0.3"/>
    <row r="191" s="339" customFormat="1" x14ac:dyDescent="0.3"/>
    <row r="192" s="339" customFormat="1" x14ac:dyDescent="0.3"/>
    <row r="193" s="339" customFormat="1" x14ac:dyDescent="0.3"/>
    <row r="194" s="339" customFormat="1" x14ac:dyDescent="0.3"/>
    <row r="195" s="339" customFormat="1" x14ac:dyDescent="0.3"/>
    <row r="196" s="339" customFormat="1" x14ac:dyDescent="0.3"/>
    <row r="197" s="339" customFormat="1" x14ac:dyDescent="0.3"/>
    <row r="198" s="339" customFormat="1" x14ac:dyDescent="0.3"/>
    <row r="199" s="339" customFormat="1" x14ac:dyDescent="0.3"/>
    <row r="200" s="339" customFormat="1" x14ac:dyDescent="0.3"/>
    <row r="201" s="339" customFormat="1" x14ac:dyDescent="0.3"/>
    <row r="202" s="339" customFormat="1" x14ac:dyDescent="0.3"/>
    <row r="203" s="339" customFormat="1" x14ac:dyDescent="0.3"/>
    <row r="204" s="339" customFormat="1" x14ac:dyDescent="0.3"/>
    <row r="205" s="339" customFormat="1" x14ac:dyDescent="0.3"/>
    <row r="206" s="339" customFormat="1" x14ac:dyDescent="0.3"/>
    <row r="207" s="339" customFormat="1" x14ac:dyDescent="0.3"/>
    <row r="208" s="339" customFormat="1" x14ac:dyDescent="0.3"/>
    <row r="209" s="339" customFormat="1" x14ac:dyDescent="0.3"/>
    <row r="210" s="339" customFormat="1" x14ac:dyDescent="0.3"/>
    <row r="211" s="339" customFormat="1" x14ac:dyDescent="0.3"/>
    <row r="212" s="339" customFormat="1" x14ac:dyDescent="0.3"/>
    <row r="213" s="339" customFormat="1" x14ac:dyDescent="0.3"/>
    <row r="214" s="339" customFormat="1" x14ac:dyDescent="0.3"/>
    <row r="215" s="339" customFormat="1" x14ac:dyDescent="0.3"/>
    <row r="216" s="339" customFormat="1" x14ac:dyDescent="0.3"/>
    <row r="217" s="339" customFormat="1" x14ac:dyDescent="0.3"/>
    <row r="218" s="339" customFormat="1" x14ac:dyDescent="0.3"/>
    <row r="219" s="339" customFormat="1" x14ac:dyDescent="0.3"/>
    <row r="220" s="339" customFormat="1" x14ac:dyDescent="0.3"/>
    <row r="221" s="339" customFormat="1" x14ac:dyDescent="0.3"/>
    <row r="222" s="339" customFormat="1" x14ac:dyDescent="0.3"/>
    <row r="223" s="339" customFormat="1" x14ac:dyDescent="0.3"/>
    <row r="224" s="339" customFormat="1" x14ac:dyDescent="0.3"/>
    <row r="225" s="339" customFormat="1" x14ac:dyDescent="0.3"/>
    <row r="226" s="339" customFormat="1" x14ac:dyDescent="0.3"/>
    <row r="227" s="339" customFormat="1" x14ac:dyDescent="0.3"/>
    <row r="228" s="339" customFormat="1" x14ac:dyDescent="0.3"/>
    <row r="229" s="339" customFormat="1" x14ac:dyDescent="0.3"/>
    <row r="230" s="339" customFormat="1" x14ac:dyDescent="0.3"/>
    <row r="231" s="339" customFormat="1" x14ac:dyDescent="0.3"/>
    <row r="232" s="339" customFormat="1" x14ac:dyDescent="0.3"/>
    <row r="233" s="339" customFormat="1" x14ac:dyDescent="0.3"/>
    <row r="234" s="339" customFormat="1" x14ac:dyDescent="0.3"/>
    <row r="235" s="339" customFormat="1" x14ac:dyDescent="0.3"/>
    <row r="236" s="339" customFormat="1" x14ac:dyDescent="0.3"/>
    <row r="237" s="339" customFormat="1" x14ac:dyDescent="0.3"/>
    <row r="238" s="339" customFormat="1" x14ac:dyDescent="0.3"/>
    <row r="239" s="339" customFormat="1" x14ac:dyDescent="0.3"/>
    <row r="240" s="339" customFormat="1" x14ac:dyDescent="0.3"/>
    <row r="241" s="339" customFormat="1" x14ac:dyDescent="0.3"/>
    <row r="242" s="339" customFormat="1" x14ac:dyDescent="0.3"/>
    <row r="243" s="339" customFormat="1" x14ac:dyDescent="0.3"/>
    <row r="244" s="339" customFormat="1" x14ac:dyDescent="0.3"/>
    <row r="245" s="339" customFormat="1" x14ac:dyDescent="0.3"/>
    <row r="246" s="339" customFormat="1" x14ac:dyDescent="0.3"/>
    <row r="247" s="339" customFormat="1" x14ac:dyDescent="0.3"/>
    <row r="248" s="339" customFormat="1" x14ac:dyDescent="0.3"/>
    <row r="249" s="339" customFormat="1" x14ac:dyDescent="0.3"/>
    <row r="250" s="339" customFormat="1" x14ac:dyDescent="0.3"/>
    <row r="251" s="339" customFormat="1" x14ac:dyDescent="0.3"/>
    <row r="252" s="339" customFormat="1" x14ac:dyDescent="0.3"/>
    <row r="253" s="339" customFormat="1" x14ac:dyDescent="0.3"/>
    <row r="254" s="339" customFormat="1" x14ac:dyDescent="0.3"/>
    <row r="255" s="339" customFormat="1" x14ac:dyDescent="0.3"/>
    <row r="256" s="339" customFormat="1" x14ac:dyDescent="0.3"/>
    <row r="257" s="339" customFormat="1" x14ac:dyDescent="0.3"/>
    <row r="258" s="339" customFormat="1" x14ac:dyDescent="0.3"/>
    <row r="259" s="339" customFormat="1" x14ac:dyDescent="0.3"/>
    <row r="260" s="339" customFormat="1" x14ac:dyDescent="0.3"/>
    <row r="261" s="339" customFormat="1" x14ac:dyDescent="0.3"/>
    <row r="262" s="339" customFormat="1" x14ac:dyDescent="0.3"/>
    <row r="263" s="339" customFormat="1" x14ac:dyDescent="0.3"/>
    <row r="264" s="339" customFormat="1" x14ac:dyDescent="0.3"/>
    <row r="265" s="339" customFormat="1" x14ac:dyDescent="0.3"/>
    <row r="266" s="339" customFormat="1" x14ac:dyDescent="0.3"/>
    <row r="267" s="339" customFormat="1" x14ac:dyDescent="0.3"/>
    <row r="268" s="339" customFormat="1" x14ac:dyDescent="0.3"/>
    <row r="269" s="339" customFormat="1" x14ac:dyDescent="0.3"/>
    <row r="270" s="339" customFormat="1" x14ac:dyDescent="0.3"/>
    <row r="271" s="339" customFormat="1" x14ac:dyDescent="0.3"/>
    <row r="272" s="339" customFormat="1" x14ac:dyDescent="0.3"/>
    <row r="273" s="339" customFormat="1" x14ac:dyDescent="0.3"/>
    <row r="274" s="339" customFormat="1" x14ac:dyDescent="0.3"/>
    <row r="275" s="339" customFormat="1" x14ac:dyDescent="0.3"/>
    <row r="276" s="339" customFormat="1" x14ac:dyDescent="0.3"/>
    <row r="277" s="339" customFormat="1" x14ac:dyDescent="0.3"/>
    <row r="278" s="339" customFormat="1" x14ac:dyDescent="0.3"/>
    <row r="279" s="339" customFormat="1" x14ac:dyDescent="0.3"/>
    <row r="280" s="339" customFormat="1" x14ac:dyDescent="0.3"/>
    <row r="281" s="339" customFormat="1" x14ac:dyDescent="0.3"/>
    <row r="282" s="339" customFormat="1" x14ac:dyDescent="0.3"/>
    <row r="283" s="339" customFormat="1" x14ac:dyDescent="0.3"/>
    <row r="284" s="339" customFormat="1" x14ac:dyDescent="0.3"/>
    <row r="285" s="339" customFormat="1" x14ac:dyDescent="0.3"/>
    <row r="286" s="339" customFormat="1" x14ac:dyDescent="0.3"/>
    <row r="287" s="339" customFormat="1" x14ac:dyDescent="0.3"/>
    <row r="288" s="339" customFormat="1" x14ac:dyDescent="0.3"/>
    <row r="289" s="339" customFormat="1" x14ac:dyDescent="0.3"/>
    <row r="290" s="339" customFormat="1" x14ac:dyDescent="0.3"/>
    <row r="291" s="339" customFormat="1" x14ac:dyDescent="0.3"/>
    <row r="292" s="339" customFormat="1" x14ac:dyDescent="0.3"/>
    <row r="293" s="339" customFormat="1" x14ac:dyDescent="0.3"/>
    <row r="294" s="339" customFormat="1" x14ac:dyDescent="0.3"/>
    <row r="295" s="339" customFormat="1" x14ac:dyDescent="0.3"/>
    <row r="296" s="339" customFormat="1" x14ac:dyDescent="0.3"/>
    <row r="297" s="339" customFormat="1" x14ac:dyDescent="0.3"/>
    <row r="298" s="339" customFormat="1" x14ac:dyDescent="0.3"/>
    <row r="299" s="339" customFormat="1" x14ac:dyDescent="0.3"/>
    <row r="300" s="339" customFormat="1" x14ac:dyDescent="0.3"/>
    <row r="301" s="339" customFormat="1" x14ac:dyDescent="0.3"/>
    <row r="302" s="339" customFormat="1" x14ac:dyDescent="0.3"/>
    <row r="303" s="339" customFormat="1" x14ac:dyDescent="0.3"/>
    <row r="304" s="339" customFormat="1" x14ac:dyDescent="0.3"/>
    <row r="305" s="339" customFormat="1" x14ac:dyDescent="0.3"/>
    <row r="306" s="339" customFormat="1" x14ac:dyDescent="0.3"/>
    <row r="307" s="339" customFormat="1" x14ac:dyDescent="0.3"/>
    <row r="308" s="339" customFormat="1" x14ac:dyDescent="0.3"/>
    <row r="309" s="339" customFormat="1" x14ac:dyDescent="0.3"/>
    <row r="310" s="339" customFormat="1" x14ac:dyDescent="0.3"/>
    <row r="311" s="339" customFormat="1" x14ac:dyDescent="0.3"/>
    <row r="312" s="339" customFormat="1" x14ac:dyDescent="0.3"/>
    <row r="313" s="339" customFormat="1" x14ac:dyDescent="0.3"/>
    <row r="314" s="339" customFormat="1" x14ac:dyDescent="0.3"/>
    <row r="315" s="339" customFormat="1" x14ac:dyDescent="0.3"/>
    <row r="316" s="339" customFormat="1" x14ac:dyDescent="0.3"/>
    <row r="317" s="339" customFormat="1" x14ac:dyDescent="0.3"/>
    <row r="318" s="339" customFormat="1" x14ac:dyDescent="0.3"/>
    <row r="319" s="339" customFormat="1" x14ac:dyDescent="0.3"/>
    <row r="320" s="339" customFormat="1" x14ac:dyDescent="0.3"/>
    <row r="321" s="339" customFormat="1" x14ac:dyDescent="0.3"/>
    <row r="322" s="339" customFormat="1" x14ac:dyDescent="0.3"/>
    <row r="323" s="339" customFormat="1" x14ac:dyDescent="0.3"/>
    <row r="324" s="339" customFormat="1" x14ac:dyDescent="0.3"/>
    <row r="325" s="339" customFormat="1" x14ac:dyDescent="0.3"/>
    <row r="326" s="339" customFormat="1" x14ac:dyDescent="0.3"/>
    <row r="327" s="339" customFormat="1" x14ac:dyDescent="0.3"/>
    <row r="328" s="339" customFormat="1" x14ac:dyDescent="0.3"/>
    <row r="329" s="339" customFormat="1" x14ac:dyDescent="0.3"/>
    <row r="330" s="339" customFormat="1" x14ac:dyDescent="0.3"/>
    <row r="331" s="339" customFormat="1" x14ac:dyDescent="0.3"/>
    <row r="332" s="339" customFormat="1" x14ac:dyDescent="0.3"/>
    <row r="333" s="339" customFormat="1" x14ac:dyDescent="0.3"/>
    <row r="334" s="339" customFormat="1" x14ac:dyDescent="0.3"/>
    <row r="335" s="339" customFormat="1" x14ac:dyDescent="0.3"/>
    <row r="336" s="339" customFormat="1" x14ac:dyDescent="0.3"/>
    <row r="337" s="339" customFormat="1" x14ac:dyDescent="0.3"/>
    <row r="338" s="339" customFormat="1" x14ac:dyDescent="0.3"/>
    <row r="339" s="339" customFormat="1" x14ac:dyDescent="0.3"/>
    <row r="340" s="339" customFormat="1" x14ac:dyDescent="0.3"/>
    <row r="341" s="339" customFormat="1" x14ac:dyDescent="0.3"/>
    <row r="342" s="339" customFormat="1" x14ac:dyDescent="0.3"/>
    <row r="343" s="339" customFormat="1" x14ac:dyDescent="0.3"/>
    <row r="344" s="339" customFormat="1" x14ac:dyDescent="0.3"/>
    <row r="345" s="339" customFormat="1" x14ac:dyDescent="0.3"/>
    <row r="346" s="339" customFormat="1" x14ac:dyDescent="0.3"/>
    <row r="347" s="339" customFormat="1" x14ac:dyDescent="0.3"/>
    <row r="348" s="339" customFormat="1" x14ac:dyDescent="0.3"/>
    <row r="349" s="339" customFormat="1" x14ac:dyDescent="0.3"/>
    <row r="350" s="339" customFormat="1" x14ac:dyDescent="0.3"/>
    <row r="351" s="339" customFormat="1" x14ac:dyDescent="0.3"/>
    <row r="352" s="339" customFormat="1" x14ac:dyDescent="0.3"/>
    <row r="353" s="339" customFormat="1" x14ac:dyDescent="0.3"/>
    <row r="354" s="339" customFormat="1" x14ac:dyDescent="0.3"/>
    <row r="355" s="339" customFormat="1" x14ac:dyDescent="0.3"/>
    <row r="356" s="339" customFormat="1" x14ac:dyDescent="0.3"/>
    <row r="357" s="339" customFormat="1" x14ac:dyDescent="0.3"/>
    <row r="358" s="339" customFormat="1" x14ac:dyDescent="0.3"/>
    <row r="359" s="339" customFormat="1" x14ac:dyDescent="0.3"/>
    <row r="360" s="339" customFormat="1" x14ac:dyDescent="0.3"/>
    <row r="361" s="339" customFormat="1" x14ac:dyDescent="0.3"/>
    <row r="362" s="339" customFormat="1" x14ac:dyDescent="0.3"/>
    <row r="363" s="339" customFormat="1" x14ac:dyDescent="0.3"/>
    <row r="364" s="339" customFormat="1" x14ac:dyDescent="0.3"/>
    <row r="365" s="339" customFormat="1" x14ac:dyDescent="0.3"/>
    <row r="366" s="339" customFormat="1" x14ac:dyDescent="0.3"/>
    <row r="367" s="339" customFormat="1" x14ac:dyDescent="0.3"/>
    <row r="368" s="339" customFormat="1" x14ac:dyDescent="0.3"/>
    <row r="369" s="339" customFormat="1" x14ac:dyDescent="0.3"/>
    <row r="370" s="339" customFormat="1" x14ac:dyDescent="0.3"/>
    <row r="371" s="339" customFormat="1" x14ac:dyDescent="0.3"/>
    <row r="372" s="339" customFormat="1" x14ac:dyDescent="0.3"/>
    <row r="373" s="339" customFormat="1" x14ac:dyDescent="0.3"/>
    <row r="374" s="339" customFormat="1" x14ac:dyDescent="0.3"/>
    <row r="375" s="339" customFormat="1" x14ac:dyDescent="0.3"/>
    <row r="376" s="339" customFormat="1" x14ac:dyDescent="0.3"/>
    <row r="377" s="339" customFormat="1" x14ac:dyDescent="0.3"/>
    <row r="378" s="339" customFormat="1" x14ac:dyDescent="0.3"/>
    <row r="379" s="339" customFormat="1" x14ac:dyDescent="0.3"/>
    <row r="380" s="339" customFormat="1" x14ac:dyDescent="0.3"/>
    <row r="381" s="339" customFormat="1" x14ac:dyDescent="0.3"/>
    <row r="382" s="339" customFormat="1" x14ac:dyDescent="0.3"/>
    <row r="383" s="339" customFormat="1" x14ac:dyDescent="0.3"/>
    <row r="384" s="339" customFormat="1" x14ac:dyDescent="0.3"/>
    <row r="385" s="339" customFormat="1" x14ac:dyDescent="0.3"/>
    <row r="386" s="339" customFormat="1" x14ac:dyDescent="0.3"/>
    <row r="387" s="339" customFormat="1" x14ac:dyDescent="0.3"/>
    <row r="388" s="339" customFormat="1" x14ac:dyDescent="0.3"/>
    <row r="389" s="339" customFormat="1" x14ac:dyDescent="0.3"/>
    <row r="390" s="339" customFormat="1" x14ac:dyDescent="0.3"/>
    <row r="391" s="339" customFormat="1" x14ac:dyDescent="0.3"/>
    <row r="392" s="339" customFormat="1" x14ac:dyDescent="0.3"/>
    <row r="393" s="339" customFormat="1" x14ac:dyDescent="0.3"/>
    <row r="394" s="339" customFormat="1" x14ac:dyDescent="0.3"/>
    <row r="395" s="339" customFormat="1" x14ac:dyDescent="0.3"/>
    <row r="396" s="339" customFormat="1" x14ac:dyDescent="0.3"/>
    <row r="397" s="339" customFormat="1" x14ac:dyDescent="0.3"/>
    <row r="398" s="339" customFormat="1" x14ac:dyDescent="0.3"/>
    <row r="399" s="339" customFormat="1" x14ac:dyDescent="0.3"/>
    <row r="400" s="339" customFormat="1" x14ac:dyDescent="0.3"/>
    <row r="401" s="339" customFormat="1" x14ac:dyDescent="0.3"/>
    <row r="402" s="339" customFormat="1" x14ac:dyDescent="0.3"/>
    <row r="403" s="339" customFormat="1" x14ac:dyDescent="0.3"/>
    <row r="404" s="339" customFormat="1" x14ac:dyDescent="0.3"/>
    <row r="405" s="339" customFormat="1" x14ac:dyDescent="0.3"/>
    <row r="406" s="339" customFormat="1" x14ac:dyDescent="0.3"/>
    <row r="407" s="339" customFormat="1" x14ac:dyDescent="0.3"/>
    <row r="408" s="339" customFormat="1" x14ac:dyDescent="0.3"/>
    <row r="409" s="339" customFormat="1" x14ac:dyDescent="0.3"/>
    <row r="410" s="339" customFormat="1" x14ac:dyDescent="0.3"/>
    <row r="411" s="339" customFormat="1" x14ac:dyDescent="0.3"/>
    <row r="412" s="339" customFormat="1" x14ac:dyDescent="0.3"/>
    <row r="413" s="339" customFormat="1" x14ac:dyDescent="0.3"/>
    <row r="414" s="339" customFormat="1" x14ac:dyDescent="0.3"/>
    <row r="415" s="339" customFormat="1" x14ac:dyDescent="0.3"/>
    <row r="416" s="339" customFormat="1" x14ac:dyDescent="0.3"/>
    <row r="417" s="339" customFormat="1" x14ac:dyDescent="0.3"/>
    <row r="418" s="339" customFormat="1" x14ac:dyDescent="0.3"/>
    <row r="419" s="339" customFormat="1" x14ac:dyDescent="0.3"/>
    <row r="420" s="339" customFormat="1" x14ac:dyDescent="0.3"/>
    <row r="421" s="339" customFormat="1" x14ac:dyDescent="0.3"/>
    <row r="422" s="339" customFormat="1" x14ac:dyDescent="0.3"/>
    <row r="423" s="339" customFormat="1" x14ac:dyDescent="0.3"/>
    <row r="424" s="339" customFormat="1" x14ac:dyDescent="0.3"/>
    <row r="425" s="339" customFormat="1" x14ac:dyDescent="0.3"/>
    <row r="426" s="339" customFormat="1" x14ac:dyDescent="0.3"/>
    <row r="427" s="339" customFormat="1" x14ac:dyDescent="0.3"/>
    <row r="428" s="339" customFormat="1" x14ac:dyDescent="0.3"/>
    <row r="429" s="339" customFormat="1" x14ac:dyDescent="0.3"/>
    <row r="430" s="339" customFormat="1" x14ac:dyDescent="0.3"/>
    <row r="431" s="339" customFormat="1" x14ac:dyDescent="0.3"/>
    <row r="432" s="339" customFormat="1" x14ac:dyDescent="0.3"/>
    <row r="433" s="339" customFormat="1" x14ac:dyDescent="0.3"/>
    <row r="434" s="339" customFormat="1" x14ac:dyDescent="0.3"/>
    <row r="435" s="339" customFormat="1" x14ac:dyDescent="0.3"/>
    <row r="436" s="339" customFormat="1" x14ac:dyDescent="0.3"/>
    <row r="437" s="339" customFormat="1" x14ac:dyDescent="0.3"/>
    <row r="438" s="339" customFormat="1" x14ac:dyDescent="0.3"/>
    <row r="439" s="339" customFormat="1" x14ac:dyDescent="0.3"/>
  </sheetData>
  <mergeCells count="17">
    <mergeCell ref="A3:A4"/>
    <mergeCell ref="B3:D3"/>
    <mergeCell ref="E3:G3"/>
    <mergeCell ref="I3:I4"/>
    <mergeCell ref="J3:L3"/>
    <mergeCell ref="A37:A38"/>
    <mergeCell ref="B37:D37"/>
    <mergeCell ref="E37:G37"/>
    <mergeCell ref="A148:A149"/>
    <mergeCell ref="B148:D148"/>
    <mergeCell ref="E148:G148"/>
    <mergeCell ref="A74:A75"/>
    <mergeCell ref="B74:D74"/>
    <mergeCell ref="E74:G74"/>
    <mergeCell ref="A111:A112"/>
    <mergeCell ref="B111:D111"/>
    <mergeCell ref="E111:G11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CCFF99"/>
  </sheetPr>
  <dimension ref="A1:T346"/>
  <sheetViews>
    <sheetView workbookViewId="0">
      <selection sqref="A1:XFD1048576"/>
    </sheetView>
  </sheetViews>
  <sheetFormatPr defaultColWidth="9.140625" defaultRowHeight="18.75" x14ac:dyDescent="0.3"/>
  <cols>
    <col min="1" max="1" width="18.140625" style="339" customWidth="1"/>
    <col min="2" max="2" width="9" style="339" customWidth="1"/>
    <col min="3" max="3" width="11.28515625" style="722" customWidth="1"/>
    <col min="4" max="4" width="9" style="730" customWidth="1"/>
    <col min="5" max="5" width="9" style="339" customWidth="1"/>
    <col min="6" max="6" width="9" style="722" customWidth="1"/>
    <col min="7" max="7" width="9" style="730" customWidth="1"/>
    <col min="8" max="8" width="9.140625" style="339"/>
    <col min="9" max="9" width="23.28515625" style="339" customWidth="1"/>
    <col min="10" max="10" width="9.7109375" style="339" customWidth="1"/>
    <col min="11" max="11" width="10.28515625" style="722" customWidth="1"/>
    <col min="12" max="12" width="9.28515625" style="730" customWidth="1"/>
    <col min="13" max="13" width="27.42578125" style="339" customWidth="1"/>
    <col min="14" max="14" width="10.42578125" style="339" customWidth="1"/>
    <col min="15" max="15" width="15" style="339" customWidth="1"/>
    <col min="16" max="16" width="15.28515625" style="339" customWidth="1"/>
    <col min="17" max="16384" width="9.140625" style="339"/>
  </cols>
  <sheetData>
    <row r="1" spans="1:20" ht="21.75" x14ac:dyDescent="0.5">
      <c r="A1" s="342" t="s">
        <v>811</v>
      </c>
      <c r="C1" s="339"/>
      <c r="D1" s="339"/>
      <c r="F1" s="339"/>
      <c r="G1" s="339"/>
      <c r="K1" s="339"/>
      <c r="L1" s="382"/>
      <c r="P1"/>
      <c r="Q1" s="520"/>
      <c r="R1" s="520"/>
      <c r="S1" s="521"/>
      <c r="T1" s="522"/>
    </row>
    <row r="2" spans="1:20" ht="21.75" x14ac:dyDescent="0.5">
      <c r="C2" s="339"/>
      <c r="D2" s="339"/>
      <c r="F2" s="339"/>
      <c r="G2" s="339"/>
      <c r="K2" s="339"/>
      <c r="L2" s="339"/>
      <c r="P2"/>
      <c r="Q2" s="520"/>
      <c r="R2" s="520"/>
      <c r="S2" s="523"/>
      <c r="T2" s="520"/>
    </row>
    <row r="3" spans="1:20" ht="24.95" customHeight="1" x14ac:dyDescent="0.5">
      <c r="A3" s="3516" t="s">
        <v>0</v>
      </c>
      <c r="B3" s="3520" t="s">
        <v>6</v>
      </c>
      <c r="C3" s="3520"/>
      <c r="D3" s="3520"/>
      <c r="E3" s="3520" t="s">
        <v>2</v>
      </c>
      <c r="F3" s="3520"/>
      <c r="G3" s="3520"/>
      <c r="I3" s="3516" t="s">
        <v>0</v>
      </c>
      <c r="J3" s="3518" t="s">
        <v>28</v>
      </c>
      <c r="K3" s="3518"/>
      <c r="L3" s="3518"/>
      <c r="N3" s="468" t="s">
        <v>66</v>
      </c>
      <c r="O3" s="469"/>
      <c r="P3"/>
      <c r="Q3" s="520"/>
      <c r="R3" s="520"/>
      <c r="S3" s="520"/>
      <c r="T3" s="520"/>
    </row>
    <row r="4" spans="1:20" ht="24.95" customHeight="1" x14ac:dyDescent="0.5">
      <c r="A4" s="3517"/>
      <c r="B4" s="380" t="s">
        <v>28</v>
      </c>
      <c r="C4" s="723" t="s">
        <v>34</v>
      </c>
      <c r="D4" s="731" t="s">
        <v>62</v>
      </c>
      <c r="E4" s="380" t="s">
        <v>28</v>
      </c>
      <c r="F4" s="723" t="s">
        <v>34</v>
      </c>
      <c r="G4" s="731" t="s">
        <v>62</v>
      </c>
      <c r="I4" s="3517"/>
      <c r="J4" s="380" t="s">
        <v>28</v>
      </c>
      <c r="K4" s="723" t="s">
        <v>34</v>
      </c>
      <c r="L4" s="731" t="s">
        <v>62</v>
      </c>
      <c r="N4" s="468" t="s">
        <v>286</v>
      </c>
      <c r="O4" s="469"/>
      <c r="P4"/>
    </row>
    <row r="5" spans="1:20" ht="24.95" customHeight="1" thickBot="1" x14ac:dyDescent="0.55000000000000004">
      <c r="A5" s="525" t="s">
        <v>28</v>
      </c>
      <c r="B5" s="367">
        <v>0</v>
      </c>
      <c r="C5" s="724">
        <v>0</v>
      </c>
      <c r="D5" s="732">
        <v>0</v>
      </c>
      <c r="E5" s="367">
        <v>0</v>
      </c>
      <c r="F5" s="724">
        <v>0</v>
      </c>
      <c r="G5" s="732">
        <v>0</v>
      </c>
      <c r="I5" s="525" t="s">
        <v>28</v>
      </c>
      <c r="J5" s="367">
        <v>0</v>
      </c>
      <c r="K5" s="724">
        <v>0</v>
      </c>
      <c r="L5" s="732">
        <v>0</v>
      </c>
      <c r="N5" s="720" t="s">
        <v>320</v>
      </c>
      <c r="O5" s="466">
        <v>0</v>
      </c>
      <c r="P5" s="467"/>
    </row>
    <row r="6" spans="1:20" s="342" customFormat="1" ht="24.95" customHeight="1" thickTop="1" x14ac:dyDescent="0.5">
      <c r="A6" s="369" t="s">
        <v>7</v>
      </c>
      <c r="B6" s="370">
        <v>0</v>
      </c>
      <c r="C6" s="725">
        <v>0</v>
      </c>
      <c r="D6" s="733">
        <v>0</v>
      </c>
      <c r="E6" s="370">
        <v>0</v>
      </c>
      <c r="F6" s="725">
        <v>0</v>
      </c>
      <c r="G6" s="733">
        <v>0</v>
      </c>
      <c r="I6" s="369" t="s">
        <v>7</v>
      </c>
      <c r="J6" s="370">
        <v>0</v>
      </c>
      <c r="K6" s="725">
        <v>0</v>
      </c>
      <c r="L6" s="733">
        <v>0</v>
      </c>
      <c r="N6" s="720" t="s">
        <v>305</v>
      </c>
      <c r="O6"/>
      <c r="P6"/>
    </row>
    <row r="7" spans="1:20" ht="24.95" customHeight="1" x14ac:dyDescent="0.3">
      <c r="A7" s="398" t="s">
        <v>8</v>
      </c>
      <c r="B7" s="372">
        <v>0</v>
      </c>
      <c r="C7" s="726">
        <v>0</v>
      </c>
      <c r="D7" s="734">
        <v>0</v>
      </c>
      <c r="E7" s="372">
        <v>0</v>
      </c>
      <c r="F7" s="726">
        <v>0</v>
      </c>
      <c r="G7" s="734">
        <v>0</v>
      </c>
      <c r="I7" s="398" t="s">
        <v>8</v>
      </c>
      <c r="J7" s="372">
        <v>0</v>
      </c>
      <c r="K7" s="726">
        <v>0</v>
      </c>
      <c r="L7" s="734">
        <v>0</v>
      </c>
    </row>
    <row r="8" spans="1:20" ht="24.95" customHeight="1" x14ac:dyDescent="0.3">
      <c r="A8" s="398" t="s">
        <v>306</v>
      </c>
      <c r="B8" s="372">
        <v>0</v>
      </c>
      <c r="C8" s="726">
        <v>0</v>
      </c>
      <c r="D8" s="734">
        <v>0</v>
      </c>
      <c r="E8" s="372">
        <v>0</v>
      </c>
      <c r="F8" s="726">
        <v>0</v>
      </c>
      <c r="G8" s="734">
        <v>0</v>
      </c>
      <c r="I8" s="398" t="s">
        <v>306</v>
      </c>
      <c r="J8" s="372">
        <v>0</v>
      </c>
      <c r="K8" s="726">
        <v>0</v>
      </c>
      <c r="L8" s="734">
        <v>0</v>
      </c>
    </row>
    <row r="9" spans="1:20" ht="24.95" customHeight="1" x14ac:dyDescent="0.3">
      <c r="A9" s="372"/>
      <c r="B9" s="372"/>
      <c r="C9" s="726"/>
      <c r="D9" s="734"/>
      <c r="E9" s="372"/>
      <c r="F9" s="726"/>
      <c r="G9" s="734"/>
      <c r="I9" s="372"/>
      <c r="J9" s="372"/>
      <c r="K9" s="726"/>
      <c r="L9" s="734"/>
    </row>
    <row r="10" spans="1:20" s="342" customFormat="1" ht="24.95" customHeight="1" x14ac:dyDescent="0.3">
      <c r="A10" s="526" t="s">
        <v>9</v>
      </c>
      <c r="B10" s="375">
        <v>0</v>
      </c>
      <c r="C10" s="727">
        <v>0</v>
      </c>
      <c r="D10" s="735">
        <v>0</v>
      </c>
      <c r="E10" s="375">
        <v>0</v>
      </c>
      <c r="F10" s="727">
        <v>0</v>
      </c>
      <c r="G10" s="735">
        <v>0</v>
      </c>
      <c r="I10" s="526" t="s">
        <v>9</v>
      </c>
      <c r="J10" s="375">
        <v>0</v>
      </c>
      <c r="K10" s="727">
        <v>0</v>
      </c>
      <c r="L10" s="735">
        <v>0</v>
      </c>
    </row>
    <row r="11" spans="1:20" ht="24.95" customHeight="1" x14ac:dyDescent="0.3">
      <c r="A11" s="372" t="s">
        <v>308</v>
      </c>
      <c r="B11" s="372">
        <v>0</v>
      </c>
      <c r="C11" s="726">
        <v>0</v>
      </c>
      <c r="D11" s="734">
        <v>0</v>
      </c>
      <c r="E11" s="372">
        <v>0</v>
      </c>
      <c r="F11" s="726">
        <v>0</v>
      </c>
      <c r="G11" s="734">
        <v>0</v>
      </c>
      <c r="I11" s="372" t="s">
        <v>308</v>
      </c>
      <c r="J11" s="372">
        <v>0</v>
      </c>
      <c r="K11" s="726">
        <v>0</v>
      </c>
      <c r="L11" s="734">
        <v>0</v>
      </c>
    </row>
    <row r="12" spans="1:20" ht="24.95" customHeight="1" x14ac:dyDescent="0.3">
      <c r="A12" s="372" t="s">
        <v>309</v>
      </c>
      <c r="B12" s="372">
        <v>0</v>
      </c>
      <c r="C12" s="726">
        <v>0</v>
      </c>
      <c r="D12" s="734">
        <v>0</v>
      </c>
      <c r="E12" s="372">
        <v>0</v>
      </c>
      <c r="F12" s="726">
        <v>0</v>
      </c>
      <c r="G12" s="734">
        <v>0</v>
      </c>
      <c r="I12" s="372" t="s">
        <v>309</v>
      </c>
      <c r="J12" s="372">
        <v>0</v>
      </c>
      <c r="K12" s="726">
        <v>0</v>
      </c>
      <c r="L12" s="734">
        <v>0</v>
      </c>
    </row>
    <row r="13" spans="1:20" ht="24.95" customHeight="1" x14ac:dyDescent="0.3">
      <c r="A13" s="372" t="s">
        <v>310</v>
      </c>
      <c r="B13" s="372">
        <v>0</v>
      </c>
      <c r="C13" s="726">
        <v>0</v>
      </c>
      <c r="D13" s="734">
        <v>0</v>
      </c>
      <c r="E13" s="372">
        <v>0</v>
      </c>
      <c r="F13" s="726">
        <v>0</v>
      </c>
      <c r="G13" s="734">
        <v>0</v>
      </c>
      <c r="I13" s="372" t="s">
        <v>310</v>
      </c>
      <c r="J13" s="372">
        <v>0</v>
      </c>
      <c r="K13" s="726">
        <v>0</v>
      </c>
      <c r="L13" s="734">
        <v>0</v>
      </c>
    </row>
    <row r="14" spans="1:20" ht="24.95" customHeight="1" x14ac:dyDescent="0.3">
      <c r="A14" s="372" t="s">
        <v>311</v>
      </c>
      <c r="B14" s="372">
        <v>0</v>
      </c>
      <c r="C14" s="726">
        <v>0</v>
      </c>
      <c r="D14" s="734">
        <v>0</v>
      </c>
      <c r="E14" s="372">
        <v>0</v>
      </c>
      <c r="F14" s="726">
        <v>0</v>
      </c>
      <c r="G14" s="734">
        <v>0</v>
      </c>
      <c r="I14" s="372" t="s">
        <v>311</v>
      </c>
      <c r="J14" s="372">
        <v>0</v>
      </c>
      <c r="K14" s="726">
        <v>0</v>
      </c>
      <c r="L14" s="734">
        <v>0</v>
      </c>
    </row>
    <row r="15" spans="1:20" ht="24.95" customHeight="1" x14ac:dyDescent="0.3">
      <c r="A15" s="372" t="s">
        <v>312</v>
      </c>
      <c r="B15" s="372">
        <v>0</v>
      </c>
      <c r="C15" s="726">
        <v>0</v>
      </c>
      <c r="D15" s="734">
        <v>0</v>
      </c>
      <c r="E15" s="372">
        <v>0</v>
      </c>
      <c r="F15" s="726">
        <v>0</v>
      </c>
      <c r="G15" s="734">
        <v>0</v>
      </c>
      <c r="I15" s="372" t="s">
        <v>312</v>
      </c>
      <c r="J15" s="372">
        <v>0</v>
      </c>
      <c r="K15" s="726">
        <v>0</v>
      </c>
      <c r="L15" s="734">
        <v>0</v>
      </c>
    </row>
    <row r="16" spans="1:20" ht="24.95" customHeight="1" x14ac:dyDescent="0.3">
      <c r="A16" s="372" t="s">
        <v>313</v>
      </c>
      <c r="B16" s="372">
        <v>0</v>
      </c>
      <c r="C16" s="726">
        <v>0</v>
      </c>
      <c r="D16" s="734">
        <v>0</v>
      </c>
      <c r="E16" s="372">
        <v>0</v>
      </c>
      <c r="F16" s="726">
        <v>0</v>
      </c>
      <c r="G16" s="734">
        <v>0</v>
      </c>
      <c r="I16" s="372" t="s">
        <v>313</v>
      </c>
      <c r="J16" s="372">
        <v>0</v>
      </c>
      <c r="K16" s="726">
        <v>0</v>
      </c>
      <c r="L16" s="734">
        <v>0</v>
      </c>
    </row>
    <row r="17" spans="1:12" ht="24.95" customHeight="1" x14ac:dyDescent="0.3">
      <c r="A17" s="372" t="s">
        <v>314</v>
      </c>
      <c r="B17" s="372">
        <v>0</v>
      </c>
      <c r="C17" s="726">
        <v>0</v>
      </c>
      <c r="D17" s="734">
        <v>0</v>
      </c>
      <c r="E17" s="372">
        <v>0</v>
      </c>
      <c r="F17" s="726">
        <v>0</v>
      </c>
      <c r="G17" s="734">
        <v>0</v>
      </c>
      <c r="I17" s="372" t="s">
        <v>314</v>
      </c>
      <c r="J17" s="372">
        <v>0</v>
      </c>
      <c r="K17" s="726">
        <v>0</v>
      </c>
      <c r="L17" s="734">
        <v>0</v>
      </c>
    </row>
    <row r="18" spans="1:12" ht="24.95" customHeight="1" x14ac:dyDescent="0.3">
      <c r="A18" s="372" t="s">
        <v>315</v>
      </c>
      <c r="B18" s="372">
        <v>0</v>
      </c>
      <c r="C18" s="726">
        <v>0</v>
      </c>
      <c r="D18" s="734">
        <v>0</v>
      </c>
      <c r="E18" s="372">
        <v>0</v>
      </c>
      <c r="F18" s="726">
        <v>0</v>
      </c>
      <c r="G18" s="734">
        <v>0</v>
      </c>
      <c r="I18" s="372" t="s">
        <v>315</v>
      </c>
      <c r="J18" s="372">
        <v>0</v>
      </c>
      <c r="K18" s="726">
        <v>0</v>
      </c>
      <c r="L18" s="734">
        <v>0</v>
      </c>
    </row>
    <row r="19" spans="1:12" ht="24.95" customHeight="1" x14ac:dyDescent="0.3">
      <c r="A19" s="372" t="s">
        <v>390</v>
      </c>
      <c r="B19" s="372">
        <v>0</v>
      </c>
      <c r="C19" s="726">
        <v>0</v>
      </c>
      <c r="D19" s="734">
        <v>0</v>
      </c>
      <c r="E19" s="372">
        <v>0</v>
      </c>
      <c r="F19" s="726">
        <v>0</v>
      </c>
      <c r="G19" s="734">
        <v>0</v>
      </c>
      <c r="I19" s="372" t="s">
        <v>390</v>
      </c>
      <c r="J19" s="372">
        <v>0</v>
      </c>
      <c r="K19" s="726">
        <v>0</v>
      </c>
      <c r="L19" s="734">
        <v>0</v>
      </c>
    </row>
    <row r="20" spans="1:12" s="342" customFormat="1" ht="24.95" customHeight="1" x14ac:dyDescent="0.3">
      <c r="A20" s="526" t="s">
        <v>12</v>
      </c>
      <c r="B20" s="375">
        <v>0</v>
      </c>
      <c r="C20" s="727">
        <v>0</v>
      </c>
      <c r="D20" s="735">
        <v>0</v>
      </c>
      <c r="E20" s="375">
        <v>0</v>
      </c>
      <c r="F20" s="727">
        <v>0</v>
      </c>
      <c r="G20" s="735">
        <v>0</v>
      </c>
      <c r="I20" s="526" t="s">
        <v>12</v>
      </c>
      <c r="J20" s="375">
        <v>0</v>
      </c>
      <c r="K20" s="727">
        <v>0</v>
      </c>
      <c r="L20" s="735">
        <v>0</v>
      </c>
    </row>
    <row r="21" spans="1:12" ht="24.95" customHeight="1" x14ac:dyDescent="0.3">
      <c r="A21" s="372" t="s">
        <v>391</v>
      </c>
      <c r="B21" s="372">
        <v>0</v>
      </c>
      <c r="C21" s="726">
        <v>0</v>
      </c>
      <c r="D21" s="734">
        <v>0</v>
      </c>
      <c r="E21" s="372">
        <v>0</v>
      </c>
      <c r="F21" s="726">
        <v>0</v>
      </c>
      <c r="G21" s="734">
        <v>0</v>
      </c>
      <c r="I21" s="372" t="s">
        <v>391</v>
      </c>
      <c r="J21" s="372">
        <v>0</v>
      </c>
      <c r="K21" s="726">
        <v>0</v>
      </c>
      <c r="L21" s="734">
        <v>0</v>
      </c>
    </row>
    <row r="22" spans="1:12" ht="24.95" customHeight="1" x14ac:dyDescent="0.3">
      <c r="A22" s="372" t="s">
        <v>392</v>
      </c>
      <c r="B22" s="372">
        <v>0</v>
      </c>
      <c r="C22" s="726">
        <v>0</v>
      </c>
      <c r="D22" s="734">
        <v>0</v>
      </c>
      <c r="E22" s="372">
        <v>0</v>
      </c>
      <c r="F22" s="726">
        <v>0</v>
      </c>
      <c r="G22" s="734">
        <v>0</v>
      </c>
      <c r="I22" s="372" t="s">
        <v>392</v>
      </c>
      <c r="J22" s="372">
        <v>0</v>
      </c>
      <c r="K22" s="726">
        <v>0</v>
      </c>
      <c r="L22" s="734">
        <v>0</v>
      </c>
    </row>
    <row r="23" spans="1:12" ht="24.95" customHeight="1" x14ac:dyDescent="0.3">
      <c r="A23" s="372" t="s">
        <v>393</v>
      </c>
      <c r="B23" s="372">
        <v>0</v>
      </c>
      <c r="C23" s="726">
        <v>0</v>
      </c>
      <c r="D23" s="734">
        <v>0</v>
      </c>
      <c r="E23" s="372">
        <v>0</v>
      </c>
      <c r="F23" s="726">
        <v>0</v>
      </c>
      <c r="G23" s="734">
        <v>0</v>
      </c>
      <c r="I23" s="372" t="s">
        <v>393</v>
      </c>
      <c r="J23" s="372">
        <v>0</v>
      </c>
      <c r="K23" s="726">
        <v>0</v>
      </c>
      <c r="L23" s="734">
        <v>0</v>
      </c>
    </row>
    <row r="24" spans="1:12" ht="24.95" customHeight="1" x14ac:dyDescent="0.3">
      <c r="A24" s="372" t="s">
        <v>394</v>
      </c>
      <c r="B24" s="372">
        <v>0</v>
      </c>
      <c r="C24" s="726">
        <v>0</v>
      </c>
      <c r="D24" s="734">
        <v>0</v>
      </c>
      <c r="E24" s="372">
        <v>0</v>
      </c>
      <c r="F24" s="726">
        <v>0</v>
      </c>
      <c r="G24" s="734">
        <v>0</v>
      </c>
      <c r="I24" s="372" t="s">
        <v>394</v>
      </c>
      <c r="J24" s="372">
        <v>0</v>
      </c>
      <c r="K24" s="726">
        <v>0</v>
      </c>
      <c r="L24" s="734">
        <v>0</v>
      </c>
    </row>
    <row r="25" spans="1:12" ht="24.95" customHeight="1" x14ac:dyDescent="0.3">
      <c r="A25" s="377"/>
      <c r="B25" s="377"/>
      <c r="C25" s="728"/>
      <c r="D25" s="736"/>
      <c r="E25" s="377"/>
      <c r="F25" s="728"/>
      <c r="G25" s="736"/>
      <c r="I25" s="377"/>
      <c r="J25" s="377"/>
      <c r="K25" s="728"/>
      <c r="L25" s="736"/>
    </row>
    <row r="26" spans="1:12" x14ac:dyDescent="0.3">
      <c r="C26" s="339"/>
      <c r="D26" s="339"/>
      <c r="F26" s="339"/>
      <c r="G26" s="339"/>
      <c r="K26" s="339"/>
      <c r="L26" s="339"/>
    </row>
    <row r="27" spans="1:12" x14ac:dyDescent="0.3">
      <c r="C27" s="339"/>
      <c r="D27" s="339"/>
      <c r="F27" s="339"/>
      <c r="G27" s="339"/>
      <c r="K27" s="339"/>
      <c r="L27" s="339"/>
    </row>
    <row r="28" spans="1:12" x14ac:dyDescent="0.3">
      <c r="C28" s="339"/>
      <c r="D28" s="339"/>
      <c r="F28" s="339"/>
      <c r="G28" s="339"/>
      <c r="K28" s="339"/>
      <c r="L28" s="339"/>
    </row>
    <row r="29" spans="1:12" x14ac:dyDescent="0.3">
      <c r="C29" s="339"/>
      <c r="D29" s="339"/>
      <c r="F29" s="339"/>
      <c r="G29" s="339"/>
      <c r="K29" s="339"/>
      <c r="L29" s="339"/>
    </row>
    <row r="30" spans="1:12" x14ac:dyDescent="0.3">
      <c r="C30" s="339"/>
      <c r="D30" s="339"/>
      <c r="F30" s="339"/>
      <c r="G30" s="339"/>
      <c r="K30" s="339"/>
      <c r="L30" s="339"/>
    </row>
    <row r="31" spans="1:12" x14ac:dyDescent="0.3">
      <c r="C31" s="339"/>
      <c r="D31" s="339"/>
      <c r="F31" s="339"/>
      <c r="G31" s="339"/>
      <c r="K31" s="339"/>
      <c r="L31" s="339"/>
    </row>
    <row r="32" spans="1:12" x14ac:dyDescent="0.3">
      <c r="C32" s="339"/>
      <c r="D32" s="339"/>
      <c r="F32" s="339"/>
      <c r="G32" s="339"/>
      <c r="K32" s="339"/>
      <c r="L32" s="339"/>
    </row>
    <row r="33" spans="1:12" x14ac:dyDescent="0.3">
      <c r="C33" s="339"/>
      <c r="D33" s="339"/>
      <c r="F33" s="339"/>
      <c r="G33" s="339"/>
      <c r="K33" s="339"/>
      <c r="L33" s="339"/>
    </row>
    <row r="34" spans="1:12" x14ac:dyDescent="0.3">
      <c r="C34" s="339"/>
      <c r="D34" s="339"/>
      <c r="F34" s="339"/>
      <c r="G34" s="339"/>
      <c r="K34" s="339"/>
      <c r="L34" s="339"/>
    </row>
    <row r="35" spans="1:12" x14ac:dyDescent="0.3">
      <c r="C35" s="339"/>
      <c r="D35" s="339"/>
      <c r="F35" s="339"/>
      <c r="G35" s="339"/>
      <c r="K35" s="339"/>
      <c r="L35" s="339"/>
    </row>
    <row r="36" spans="1:12" x14ac:dyDescent="0.3">
      <c r="C36" s="339"/>
      <c r="D36" s="339"/>
      <c r="F36" s="339"/>
      <c r="G36" s="339"/>
      <c r="K36" s="339"/>
      <c r="L36" s="339"/>
    </row>
    <row r="37" spans="1:12" x14ac:dyDescent="0.3">
      <c r="A37" s="3516" t="s">
        <v>0</v>
      </c>
      <c r="B37" s="3520" t="s">
        <v>1</v>
      </c>
      <c r="C37" s="3520"/>
      <c r="D37" s="3520"/>
      <c r="E37" s="3520" t="s">
        <v>3</v>
      </c>
      <c r="F37" s="3520"/>
      <c r="G37" s="3520"/>
      <c r="K37" s="339"/>
      <c r="L37" s="339"/>
    </row>
    <row r="38" spans="1:12" x14ac:dyDescent="0.3">
      <c r="A38" s="3517"/>
      <c r="B38" s="380" t="s">
        <v>28</v>
      </c>
      <c r="C38" s="723" t="s">
        <v>34</v>
      </c>
      <c r="D38" s="731" t="s">
        <v>62</v>
      </c>
      <c r="E38" s="380" t="s">
        <v>28</v>
      </c>
      <c r="F38" s="723" t="s">
        <v>34</v>
      </c>
      <c r="G38" s="731" t="s">
        <v>62</v>
      </c>
      <c r="K38" s="339"/>
      <c r="L38" s="339"/>
    </row>
    <row r="39" spans="1:12" ht="19.5" thickBot="1" x14ac:dyDescent="0.35">
      <c r="A39" s="525" t="s">
        <v>28</v>
      </c>
      <c r="B39" s="367" t="e">
        <v>#REF!</v>
      </c>
      <c r="C39" s="724" t="e">
        <v>#REF!</v>
      </c>
      <c r="D39" s="737" t="e">
        <v>#REF!</v>
      </c>
      <c r="E39" s="367" t="e">
        <v>#REF!</v>
      </c>
      <c r="F39" s="724" t="e">
        <v>#REF!</v>
      </c>
      <c r="G39" s="732" t="e">
        <v>#REF!</v>
      </c>
      <c r="K39" s="339"/>
      <c r="L39" s="339"/>
    </row>
    <row r="40" spans="1:12" ht="19.5" thickTop="1" x14ac:dyDescent="0.3">
      <c r="A40" s="369" t="s">
        <v>7</v>
      </c>
      <c r="B40" s="370" t="e">
        <v>#REF!</v>
      </c>
      <c r="C40" s="725" t="e">
        <v>#REF!</v>
      </c>
      <c r="D40" s="733" t="e">
        <v>#REF!</v>
      </c>
      <c r="E40" s="370" t="e">
        <v>#REF!</v>
      </c>
      <c r="F40" s="725" t="e">
        <v>#REF!</v>
      </c>
      <c r="G40" s="733" t="e">
        <v>#REF!</v>
      </c>
      <c r="K40" s="339"/>
      <c r="L40" s="339"/>
    </row>
    <row r="41" spans="1:12" x14ac:dyDescent="0.3">
      <c r="A41" s="398" t="s">
        <v>8</v>
      </c>
      <c r="B41" s="372" t="e">
        <v>#REF!</v>
      </c>
      <c r="C41" s="726" t="e">
        <v>#REF!</v>
      </c>
      <c r="D41" s="734" t="e">
        <v>#REF!</v>
      </c>
      <c r="E41" s="372" t="e">
        <v>#REF!</v>
      </c>
      <c r="F41" s="726" t="e">
        <v>#REF!</v>
      </c>
      <c r="G41" s="734" t="e">
        <v>#REF!</v>
      </c>
      <c r="K41" s="339"/>
      <c r="L41" s="339"/>
    </row>
    <row r="42" spans="1:12" x14ac:dyDescent="0.3">
      <c r="A42" s="398" t="s">
        <v>306</v>
      </c>
      <c r="B42" s="372" t="e">
        <v>#REF!</v>
      </c>
      <c r="C42" s="726" t="e">
        <v>#REF!</v>
      </c>
      <c r="D42" s="734" t="e">
        <v>#REF!</v>
      </c>
      <c r="E42" s="372" t="e">
        <v>#REF!</v>
      </c>
      <c r="F42" s="726" t="e">
        <v>#REF!</v>
      </c>
      <c r="G42" s="734" t="e">
        <v>#REF!</v>
      </c>
      <c r="K42" s="339"/>
      <c r="L42" s="339"/>
    </row>
    <row r="43" spans="1:12" x14ac:dyDescent="0.3">
      <c r="A43" s="372"/>
      <c r="B43" s="372"/>
      <c r="C43" s="726"/>
      <c r="D43" s="734"/>
      <c r="E43" s="372"/>
      <c r="F43" s="726"/>
      <c r="G43" s="734"/>
      <c r="K43" s="339"/>
      <c r="L43" s="339"/>
    </row>
    <row r="44" spans="1:12" x14ac:dyDescent="0.3">
      <c r="A44" s="526" t="s">
        <v>9</v>
      </c>
      <c r="B44" s="375" t="e">
        <v>#REF!</v>
      </c>
      <c r="C44" s="727" t="e">
        <v>#REF!</v>
      </c>
      <c r="D44" s="735" t="e">
        <v>#REF!</v>
      </c>
      <c r="E44" s="375" t="e">
        <v>#REF!</v>
      </c>
      <c r="F44" s="727" t="e">
        <v>#REF!</v>
      </c>
      <c r="G44" s="735" t="e">
        <v>#REF!</v>
      </c>
      <c r="K44" s="339"/>
      <c r="L44" s="339"/>
    </row>
    <row r="45" spans="1:12" x14ac:dyDescent="0.3">
      <c r="A45" s="372" t="s">
        <v>308</v>
      </c>
      <c r="B45" s="372" t="e">
        <v>#REF!</v>
      </c>
      <c r="C45" s="726" t="e">
        <v>#REF!</v>
      </c>
      <c r="D45" s="734" t="e">
        <v>#REF!</v>
      </c>
      <c r="E45" s="372" t="e">
        <v>#REF!</v>
      </c>
      <c r="F45" s="726" t="e">
        <v>#REF!</v>
      </c>
      <c r="G45" s="734" t="e">
        <v>#REF!</v>
      </c>
      <c r="K45" s="339"/>
      <c r="L45" s="339"/>
    </row>
    <row r="46" spans="1:12" x14ac:dyDescent="0.3">
      <c r="A46" s="372" t="s">
        <v>309</v>
      </c>
      <c r="B46" s="372" t="e">
        <v>#REF!</v>
      </c>
      <c r="C46" s="726" t="e">
        <v>#REF!</v>
      </c>
      <c r="D46" s="734" t="e">
        <v>#REF!</v>
      </c>
      <c r="E46" s="372" t="e">
        <v>#REF!</v>
      </c>
      <c r="F46" s="726" t="e">
        <v>#REF!</v>
      </c>
      <c r="G46" s="734" t="e">
        <v>#REF!</v>
      </c>
      <c r="K46" s="339"/>
      <c r="L46" s="339"/>
    </row>
    <row r="47" spans="1:12" x14ac:dyDescent="0.3">
      <c r="A47" s="372" t="s">
        <v>310</v>
      </c>
      <c r="B47" s="372" t="e">
        <v>#REF!</v>
      </c>
      <c r="C47" s="726" t="e">
        <v>#REF!</v>
      </c>
      <c r="D47" s="734" t="e">
        <v>#REF!</v>
      </c>
      <c r="E47" s="372" t="e">
        <v>#REF!</v>
      </c>
      <c r="F47" s="726" t="e">
        <v>#REF!</v>
      </c>
      <c r="G47" s="734" t="e">
        <v>#REF!</v>
      </c>
      <c r="K47" s="339"/>
      <c r="L47" s="339"/>
    </row>
    <row r="48" spans="1:12" x14ac:dyDescent="0.3">
      <c r="A48" s="372" t="s">
        <v>311</v>
      </c>
      <c r="B48" s="372" t="e">
        <v>#REF!</v>
      </c>
      <c r="C48" s="726" t="e">
        <v>#REF!</v>
      </c>
      <c r="D48" s="734" t="e">
        <v>#REF!</v>
      </c>
      <c r="E48" s="372" t="e">
        <v>#REF!</v>
      </c>
      <c r="F48" s="726" t="e">
        <v>#REF!</v>
      </c>
      <c r="G48" s="734" t="e">
        <v>#REF!</v>
      </c>
      <c r="K48" s="339"/>
      <c r="L48" s="339"/>
    </row>
    <row r="49" spans="1:12" x14ac:dyDescent="0.3">
      <c r="A49" s="372" t="s">
        <v>312</v>
      </c>
      <c r="B49" s="372" t="e">
        <v>#REF!</v>
      </c>
      <c r="C49" s="726" t="e">
        <v>#REF!</v>
      </c>
      <c r="D49" s="734" t="e">
        <v>#REF!</v>
      </c>
      <c r="E49" s="372" t="e">
        <v>#REF!</v>
      </c>
      <c r="F49" s="726" t="e">
        <v>#REF!</v>
      </c>
      <c r="G49" s="734" t="e">
        <v>#REF!</v>
      </c>
      <c r="K49" s="339"/>
      <c r="L49" s="339"/>
    </row>
    <row r="50" spans="1:12" x14ac:dyDescent="0.3">
      <c r="A50" s="372" t="s">
        <v>313</v>
      </c>
      <c r="B50" s="372" t="e">
        <v>#REF!</v>
      </c>
      <c r="C50" s="726" t="e">
        <v>#REF!</v>
      </c>
      <c r="D50" s="734" t="e">
        <v>#REF!</v>
      </c>
      <c r="E50" s="372" t="e">
        <v>#REF!</v>
      </c>
      <c r="F50" s="726" t="e">
        <v>#REF!</v>
      </c>
      <c r="G50" s="734" t="e">
        <v>#REF!</v>
      </c>
      <c r="K50" s="339"/>
      <c r="L50" s="339"/>
    </row>
    <row r="51" spans="1:12" x14ac:dyDescent="0.3">
      <c r="A51" s="372" t="s">
        <v>314</v>
      </c>
      <c r="B51" s="372"/>
      <c r="C51" s="726" t="e">
        <v>#REF!</v>
      </c>
      <c r="D51" s="734" t="e">
        <v>#REF!</v>
      </c>
      <c r="E51" s="372" t="e">
        <v>#REF!</v>
      </c>
      <c r="F51" s="726" t="e">
        <v>#REF!</v>
      </c>
      <c r="G51" s="734" t="e">
        <v>#REF!</v>
      </c>
      <c r="K51" s="339"/>
      <c r="L51" s="339"/>
    </row>
    <row r="52" spans="1:12" x14ac:dyDescent="0.3">
      <c r="A52" s="372" t="s">
        <v>315</v>
      </c>
      <c r="B52" s="372"/>
      <c r="C52" s="726" t="e">
        <v>#REF!</v>
      </c>
      <c r="D52" s="734" t="e">
        <v>#REF!</v>
      </c>
      <c r="E52" s="372" t="e">
        <v>#REF!</v>
      </c>
      <c r="F52" s="726" t="e">
        <v>#REF!</v>
      </c>
      <c r="G52" s="734" t="e">
        <v>#REF!</v>
      </c>
      <c r="K52" s="339"/>
      <c r="L52" s="339"/>
    </row>
    <row r="53" spans="1:12" x14ac:dyDescent="0.3">
      <c r="A53" s="372" t="s">
        <v>390</v>
      </c>
      <c r="B53" s="372">
        <v>0</v>
      </c>
      <c r="C53" s="726">
        <v>0</v>
      </c>
      <c r="D53" s="734">
        <v>0</v>
      </c>
      <c r="E53" s="372">
        <v>0</v>
      </c>
      <c r="F53" s="726">
        <v>0</v>
      </c>
      <c r="G53" s="734">
        <v>0</v>
      </c>
      <c r="K53" s="339"/>
      <c r="L53" s="339"/>
    </row>
    <row r="54" spans="1:12" x14ac:dyDescent="0.3">
      <c r="A54" s="526" t="s">
        <v>12</v>
      </c>
      <c r="B54" s="375">
        <v>0</v>
      </c>
      <c r="C54" s="727">
        <v>0</v>
      </c>
      <c r="D54" s="735">
        <v>0</v>
      </c>
      <c r="E54" s="375">
        <v>0</v>
      </c>
      <c r="F54" s="727">
        <v>0</v>
      </c>
      <c r="G54" s="735">
        <v>0</v>
      </c>
      <c r="K54" s="339"/>
      <c r="L54" s="339"/>
    </row>
    <row r="55" spans="1:12" x14ac:dyDescent="0.3">
      <c r="A55" s="372" t="s">
        <v>391</v>
      </c>
      <c r="B55" s="372">
        <v>0</v>
      </c>
      <c r="C55" s="726">
        <v>0</v>
      </c>
      <c r="D55" s="734">
        <v>0</v>
      </c>
      <c r="E55" s="372">
        <v>0</v>
      </c>
      <c r="F55" s="726">
        <v>0</v>
      </c>
      <c r="G55" s="734">
        <v>0</v>
      </c>
      <c r="K55" s="339"/>
      <c r="L55" s="339"/>
    </row>
    <row r="56" spans="1:12" x14ac:dyDescent="0.3">
      <c r="A56" s="372" t="s">
        <v>392</v>
      </c>
      <c r="B56" s="372">
        <v>0</v>
      </c>
      <c r="C56" s="726">
        <v>0</v>
      </c>
      <c r="D56" s="734">
        <v>0</v>
      </c>
      <c r="E56" s="372">
        <v>0</v>
      </c>
      <c r="F56" s="726">
        <v>0</v>
      </c>
      <c r="G56" s="734">
        <v>0</v>
      </c>
      <c r="K56" s="339"/>
      <c r="L56" s="339"/>
    </row>
    <row r="57" spans="1:12" x14ac:dyDescent="0.3">
      <c r="A57" s="372" t="s">
        <v>393</v>
      </c>
      <c r="B57" s="372">
        <v>0</v>
      </c>
      <c r="C57" s="726">
        <v>0</v>
      </c>
      <c r="D57" s="734">
        <v>0</v>
      </c>
      <c r="E57" s="372">
        <v>0</v>
      </c>
      <c r="F57" s="726">
        <v>0</v>
      </c>
      <c r="G57" s="734">
        <v>0</v>
      </c>
      <c r="K57" s="339"/>
      <c r="L57" s="339"/>
    </row>
    <row r="58" spans="1:12" x14ac:dyDescent="0.3">
      <c r="A58" s="372" t="s">
        <v>394</v>
      </c>
      <c r="B58" s="372">
        <v>0</v>
      </c>
      <c r="C58" s="726">
        <v>0</v>
      </c>
      <c r="D58" s="734">
        <v>0</v>
      </c>
      <c r="E58" s="372">
        <v>0</v>
      </c>
      <c r="F58" s="726">
        <v>0</v>
      </c>
      <c r="G58" s="734">
        <v>0</v>
      </c>
      <c r="K58" s="339"/>
      <c r="L58" s="339"/>
    </row>
    <row r="59" spans="1:12" x14ac:dyDescent="0.3">
      <c r="A59" s="377"/>
      <c r="B59" s="377"/>
      <c r="C59" s="728"/>
      <c r="D59" s="736"/>
      <c r="E59" s="377"/>
      <c r="F59" s="728"/>
      <c r="G59" s="736"/>
      <c r="K59" s="339"/>
      <c r="L59" s="339"/>
    </row>
    <row r="60" spans="1:12" x14ac:dyDescent="0.3">
      <c r="C60" s="339"/>
      <c r="D60" s="339"/>
      <c r="F60" s="339"/>
      <c r="G60" s="339"/>
      <c r="K60" s="339"/>
      <c r="L60" s="339"/>
    </row>
    <row r="61" spans="1:12" x14ac:dyDescent="0.3">
      <c r="C61" s="339"/>
      <c r="D61" s="339"/>
      <c r="F61" s="339"/>
      <c r="G61" s="339"/>
      <c r="K61" s="339"/>
      <c r="L61" s="339"/>
    </row>
    <row r="62" spans="1:12" x14ac:dyDescent="0.3">
      <c r="C62" s="339"/>
      <c r="D62" s="339"/>
      <c r="F62" s="339"/>
      <c r="G62" s="339"/>
      <c r="K62" s="339"/>
      <c r="L62" s="339"/>
    </row>
    <row r="63" spans="1:12" x14ac:dyDescent="0.3">
      <c r="C63" s="339"/>
      <c r="D63" s="339"/>
      <c r="F63" s="339"/>
      <c r="G63" s="339"/>
      <c r="K63" s="339"/>
      <c r="L63" s="339"/>
    </row>
    <row r="64" spans="1:12" x14ac:dyDescent="0.3">
      <c r="C64" s="339"/>
      <c r="D64" s="339"/>
      <c r="F64" s="339"/>
      <c r="G64" s="339"/>
      <c r="K64" s="339"/>
      <c r="L64" s="339"/>
    </row>
    <row r="65" spans="1:12" x14ac:dyDescent="0.3">
      <c r="C65" s="339"/>
      <c r="D65" s="339"/>
      <c r="F65" s="339"/>
      <c r="G65" s="339"/>
      <c r="K65" s="339"/>
      <c r="L65" s="339"/>
    </row>
    <row r="66" spans="1:12" x14ac:dyDescent="0.3">
      <c r="C66" s="339"/>
      <c r="D66" s="339"/>
      <c r="F66" s="339"/>
      <c r="G66" s="339"/>
      <c r="K66" s="339"/>
      <c r="L66" s="339"/>
    </row>
    <row r="67" spans="1:12" x14ac:dyDescent="0.3">
      <c r="C67" s="339"/>
      <c r="D67" s="339"/>
      <c r="F67" s="339"/>
      <c r="G67" s="339"/>
      <c r="K67" s="339"/>
      <c r="L67" s="339"/>
    </row>
    <row r="68" spans="1:12" x14ac:dyDescent="0.3">
      <c r="C68" s="339"/>
      <c r="D68" s="339"/>
      <c r="F68" s="339"/>
      <c r="G68" s="339"/>
      <c r="K68" s="339"/>
      <c r="L68" s="339"/>
    </row>
    <row r="69" spans="1:12" x14ac:dyDescent="0.3">
      <c r="C69" s="339"/>
      <c r="D69" s="339"/>
      <c r="F69" s="339"/>
      <c r="G69" s="339"/>
      <c r="K69" s="339"/>
      <c r="L69" s="339"/>
    </row>
    <row r="70" spans="1:12" x14ac:dyDescent="0.3">
      <c r="C70" s="339"/>
      <c r="D70" s="339"/>
      <c r="F70" s="339"/>
      <c r="G70" s="339"/>
      <c r="K70" s="339"/>
      <c r="L70" s="339"/>
    </row>
    <row r="71" spans="1:12" x14ac:dyDescent="0.3">
      <c r="C71" s="339"/>
      <c r="D71" s="339"/>
      <c r="F71" s="339"/>
      <c r="G71" s="339"/>
      <c r="K71" s="339"/>
      <c r="L71" s="339"/>
    </row>
    <row r="72" spans="1:12" x14ac:dyDescent="0.3">
      <c r="C72" s="339"/>
      <c r="D72" s="339"/>
      <c r="F72" s="339"/>
      <c r="G72" s="339"/>
      <c r="K72" s="339"/>
      <c r="L72" s="339"/>
    </row>
    <row r="73" spans="1:12" x14ac:dyDescent="0.3">
      <c r="C73" s="339"/>
      <c r="D73" s="339"/>
      <c r="F73" s="339"/>
      <c r="G73" s="339"/>
      <c r="K73" s="339"/>
      <c r="L73" s="339"/>
    </row>
    <row r="74" spans="1:12" x14ac:dyDescent="0.3">
      <c r="A74" s="3516" t="s">
        <v>0</v>
      </c>
      <c r="B74" s="3520" t="s">
        <v>24</v>
      </c>
      <c r="C74" s="3520"/>
      <c r="D74" s="3520"/>
      <c r="E74" s="3520" t="s">
        <v>23</v>
      </c>
      <c r="F74" s="3520"/>
      <c r="G74" s="3520"/>
      <c r="K74" s="339"/>
      <c r="L74" s="339"/>
    </row>
    <row r="75" spans="1:12" x14ac:dyDescent="0.3">
      <c r="A75" s="3517"/>
      <c r="B75" s="380" t="s">
        <v>28</v>
      </c>
      <c r="C75" s="723" t="s">
        <v>34</v>
      </c>
      <c r="D75" s="731" t="s">
        <v>62</v>
      </c>
      <c r="E75" s="380" t="s">
        <v>28</v>
      </c>
      <c r="F75" s="723" t="s">
        <v>34</v>
      </c>
      <c r="G75" s="731" t="s">
        <v>62</v>
      </c>
      <c r="K75" s="339"/>
      <c r="L75" s="339"/>
    </row>
    <row r="76" spans="1:12" ht="19.5" thickBot="1" x14ac:dyDescent="0.35">
      <c r="A76" s="525" t="s">
        <v>28</v>
      </c>
      <c r="B76" s="367">
        <v>0</v>
      </c>
      <c r="C76" s="724">
        <v>0</v>
      </c>
      <c r="D76" s="732">
        <v>0</v>
      </c>
      <c r="E76" s="367">
        <v>0</v>
      </c>
      <c r="F76" s="724">
        <v>0</v>
      </c>
      <c r="G76" s="732">
        <v>0</v>
      </c>
      <c r="K76" s="339"/>
      <c r="L76" s="339"/>
    </row>
    <row r="77" spans="1:12" ht="19.5" thickTop="1" x14ac:dyDescent="0.3">
      <c r="A77" s="369" t="s">
        <v>7</v>
      </c>
      <c r="B77" s="370">
        <v>0</v>
      </c>
      <c r="C77" s="725">
        <v>0</v>
      </c>
      <c r="D77" s="733">
        <v>0</v>
      </c>
      <c r="E77" s="370">
        <v>0</v>
      </c>
      <c r="F77" s="725">
        <v>0</v>
      </c>
      <c r="G77" s="733">
        <v>0</v>
      </c>
      <c r="K77" s="339"/>
      <c r="L77" s="339"/>
    </row>
    <row r="78" spans="1:12" x14ac:dyDescent="0.3">
      <c r="A78" s="398" t="s">
        <v>8</v>
      </c>
      <c r="B78" s="372">
        <v>0</v>
      </c>
      <c r="C78" s="726">
        <v>0</v>
      </c>
      <c r="D78" s="734">
        <v>0</v>
      </c>
      <c r="E78" s="372">
        <v>0</v>
      </c>
      <c r="F78" s="726"/>
      <c r="G78" s="734"/>
      <c r="K78" s="339"/>
      <c r="L78" s="339"/>
    </row>
    <row r="79" spans="1:12" x14ac:dyDescent="0.3">
      <c r="A79" s="398" t="s">
        <v>306</v>
      </c>
      <c r="B79" s="372">
        <v>0</v>
      </c>
      <c r="C79" s="726">
        <v>0</v>
      </c>
      <c r="D79" s="734">
        <v>0</v>
      </c>
      <c r="E79" s="372">
        <v>0</v>
      </c>
      <c r="F79" s="726"/>
      <c r="G79" s="734"/>
      <c r="K79" s="339"/>
      <c r="L79" s="339"/>
    </row>
    <row r="80" spans="1:12" x14ac:dyDescent="0.3">
      <c r="A80" s="372"/>
      <c r="B80" s="372"/>
      <c r="C80" s="726"/>
      <c r="D80" s="734"/>
      <c r="E80" s="372"/>
      <c r="F80" s="726"/>
      <c r="G80" s="734"/>
      <c r="K80" s="339"/>
      <c r="L80" s="339"/>
    </row>
    <row r="81" spans="1:12" x14ac:dyDescent="0.3">
      <c r="A81" s="526" t="s">
        <v>9</v>
      </c>
      <c r="B81" s="375">
        <v>0</v>
      </c>
      <c r="C81" s="727">
        <v>0</v>
      </c>
      <c r="D81" s="735">
        <v>0</v>
      </c>
      <c r="E81" s="375">
        <v>0</v>
      </c>
      <c r="F81" s="727">
        <v>0</v>
      </c>
      <c r="G81" s="735">
        <v>0</v>
      </c>
      <c r="K81" s="339"/>
      <c r="L81" s="339"/>
    </row>
    <row r="82" spans="1:12" x14ac:dyDescent="0.3">
      <c r="A82" s="372" t="s">
        <v>308</v>
      </c>
      <c r="B82" s="372">
        <v>0</v>
      </c>
      <c r="C82" s="726">
        <v>0</v>
      </c>
      <c r="D82" s="734">
        <v>0</v>
      </c>
      <c r="E82" s="372">
        <v>0</v>
      </c>
      <c r="F82" s="726"/>
      <c r="G82" s="734"/>
      <c r="K82" s="339"/>
      <c r="L82" s="339"/>
    </row>
    <row r="83" spans="1:12" x14ac:dyDescent="0.3">
      <c r="A83" s="372" t="s">
        <v>309</v>
      </c>
      <c r="B83" s="372">
        <v>0</v>
      </c>
      <c r="C83" s="726">
        <v>0</v>
      </c>
      <c r="D83" s="734">
        <v>0</v>
      </c>
      <c r="E83" s="372">
        <v>0</v>
      </c>
      <c r="F83" s="726"/>
      <c r="G83" s="734"/>
      <c r="K83" s="339"/>
      <c r="L83" s="339"/>
    </row>
    <row r="84" spans="1:12" x14ac:dyDescent="0.3">
      <c r="A84" s="372" t="s">
        <v>310</v>
      </c>
      <c r="B84" s="372">
        <v>0</v>
      </c>
      <c r="C84" s="726">
        <v>0</v>
      </c>
      <c r="D84" s="734">
        <v>0</v>
      </c>
      <c r="E84" s="372">
        <v>0</v>
      </c>
      <c r="F84" s="726"/>
      <c r="G84" s="734"/>
      <c r="K84" s="339"/>
      <c r="L84" s="339"/>
    </row>
    <row r="85" spans="1:12" x14ac:dyDescent="0.3">
      <c r="A85" s="372" t="s">
        <v>311</v>
      </c>
      <c r="B85" s="372">
        <v>0</v>
      </c>
      <c r="C85" s="726">
        <v>0</v>
      </c>
      <c r="D85" s="734">
        <v>0</v>
      </c>
      <c r="E85" s="372">
        <v>0</v>
      </c>
      <c r="F85" s="726"/>
      <c r="G85" s="734"/>
      <c r="K85" s="339"/>
      <c r="L85" s="339"/>
    </row>
    <row r="86" spans="1:12" x14ac:dyDescent="0.3">
      <c r="A86" s="372" t="s">
        <v>312</v>
      </c>
      <c r="B86" s="372">
        <v>0</v>
      </c>
      <c r="C86" s="726">
        <v>0</v>
      </c>
      <c r="D86" s="734">
        <v>0</v>
      </c>
      <c r="E86" s="372">
        <v>0</v>
      </c>
      <c r="F86" s="726"/>
      <c r="G86" s="734"/>
      <c r="K86" s="339"/>
      <c r="L86" s="339"/>
    </row>
    <row r="87" spans="1:12" x14ac:dyDescent="0.3">
      <c r="A87" s="372" t="s">
        <v>313</v>
      </c>
      <c r="B87" s="372">
        <v>0</v>
      </c>
      <c r="C87" s="726">
        <v>0</v>
      </c>
      <c r="D87" s="734">
        <v>0</v>
      </c>
      <c r="E87" s="372">
        <v>0</v>
      </c>
      <c r="F87" s="726"/>
      <c r="G87" s="734"/>
      <c r="K87" s="339"/>
      <c r="L87" s="339"/>
    </row>
    <row r="88" spans="1:12" x14ac:dyDescent="0.3">
      <c r="A88" s="372" t="s">
        <v>314</v>
      </c>
      <c r="B88" s="372"/>
      <c r="C88" s="726">
        <v>0</v>
      </c>
      <c r="D88" s="734">
        <v>0</v>
      </c>
      <c r="E88" s="372"/>
      <c r="F88" s="726"/>
      <c r="G88" s="734"/>
      <c r="K88" s="339"/>
      <c r="L88" s="339"/>
    </row>
    <row r="89" spans="1:12" x14ac:dyDescent="0.3">
      <c r="A89" s="372" t="s">
        <v>315</v>
      </c>
      <c r="B89" s="372"/>
      <c r="C89" s="726">
        <v>0</v>
      </c>
      <c r="D89" s="734">
        <v>0</v>
      </c>
      <c r="E89" s="372"/>
      <c r="F89" s="726"/>
      <c r="G89" s="734"/>
      <c r="K89" s="339"/>
      <c r="L89" s="339"/>
    </row>
    <row r="90" spans="1:12" x14ac:dyDescent="0.3">
      <c r="A90" s="372" t="s">
        <v>390</v>
      </c>
      <c r="B90" s="372">
        <v>0</v>
      </c>
      <c r="C90" s="726">
        <v>0</v>
      </c>
      <c r="D90" s="734">
        <v>0</v>
      </c>
      <c r="E90" s="372">
        <v>0</v>
      </c>
      <c r="F90" s="726">
        <v>0</v>
      </c>
      <c r="G90" s="734">
        <v>0</v>
      </c>
      <c r="K90" s="339"/>
      <c r="L90" s="339"/>
    </row>
    <row r="91" spans="1:12" x14ac:dyDescent="0.3">
      <c r="A91" s="526" t="s">
        <v>12</v>
      </c>
      <c r="B91" s="375">
        <v>0</v>
      </c>
      <c r="C91" s="727">
        <v>0</v>
      </c>
      <c r="D91" s="735">
        <v>0</v>
      </c>
      <c r="E91" s="375">
        <v>0</v>
      </c>
      <c r="F91" s="727">
        <v>0</v>
      </c>
      <c r="G91" s="735">
        <v>0</v>
      </c>
      <c r="K91" s="339"/>
      <c r="L91" s="339"/>
    </row>
    <row r="92" spans="1:12" x14ac:dyDescent="0.3">
      <c r="A92" s="372" t="s">
        <v>391</v>
      </c>
      <c r="B92" s="372">
        <v>0</v>
      </c>
      <c r="C92" s="726">
        <v>0</v>
      </c>
      <c r="D92" s="734">
        <v>0</v>
      </c>
      <c r="E92" s="372">
        <v>0</v>
      </c>
      <c r="F92" s="726">
        <v>0</v>
      </c>
      <c r="G92" s="734">
        <v>0</v>
      </c>
      <c r="K92" s="339"/>
      <c r="L92" s="339"/>
    </row>
    <row r="93" spans="1:12" x14ac:dyDescent="0.3">
      <c r="A93" s="372" t="s">
        <v>392</v>
      </c>
      <c r="B93" s="372">
        <v>0</v>
      </c>
      <c r="C93" s="726">
        <v>0</v>
      </c>
      <c r="D93" s="734">
        <v>0</v>
      </c>
      <c r="E93" s="372">
        <v>0</v>
      </c>
      <c r="F93" s="726">
        <v>0</v>
      </c>
      <c r="G93" s="734">
        <v>0</v>
      </c>
      <c r="K93" s="339"/>
      <c r="L93" s="339"/>
    </row>
    <row r="94" spans="1:12" x14ac:dyDescent="0.3">
      <c r="A94" s="372" t="s">
        <v>393</v>
      </c>
      <c r="B94" s="372">
        <v>0</v>
      </c>
      <c r="C94" s="726">
        <v>0</v>
      </c>
      <c r="D94" s="734">
        <v>0</v>
      </c>
      <c r="E94" s="372">
        <v>0</v>
      </c>
      <c r="F94" s="726">
        <v>0</v>
      </c>
      <c r="G94" s="734">
        <v>0</v>
      </c>
      <c r="K94" s="339"/>
      <c r="L94" s="339"/>
    </row>
    <row r="95" spans="1:12" x14ac:dyDescent="0.3">
      <c r="A95" s="372" t="s">
        <v>394</v>
      </c>
      <c r="B95" s="372">
        <v>0</v>
      </c>
      <c r="C95" s="726">
        <v>0</v>
      </c>
      <c r="D95" s="734">
        <v>0</v>
      </c>
      <c r="E95" s="372">
        <v>0</v>
      </c>
      <c r="F95" s="726">
        <v>0</v>
      </c>
      <c r="G95" s="734">
        <v>0</v>
      </c>
      <c r="K95" s="339"/>
      <c r="L95" s="339"/>
    </row>
    <row r="96" spans="1:12" x14ac:dyDescent="0.3">
      <c r="A96" s="377"/>
      <c r="B96" s="377"/>
      <c r="C96" s="728"/>
      <c r="D96" s="736"/>
      <c r="E96" s="377"/>
      <c r="F96" s="728"/>
      <c r="G96" s="736"/>
      <c r="K96" s="339"/>
      <c r="L96" s="339"/>
    </row>
    <row r="97" spans="1:12" x14ac:dyDescent="0.3">
      <c r="C97" s="339"/>
      <c r="D97" s="339"/>
      <c r="F97" s="339"/>
      <c r="G97" s="339"/>
      <c r="K97" s="339"/>
      <c r="L97" s="339"/>
    </row>
    <row r="98" spans="1:12" x14ac:dyDescent="0.3">
      <c r="C98" s="339"/>
      <c r="D98" s="339"/>
      <c r="F98" s="339"/>
      <c r="G98" s="339"/>
      <c r="K98" s="339"/>
      <c r="L98" s="339"/>
    </row>
    <row r="99" spans="1:12" x14ac:dyDescent="0.3">
      <c r="C99" s="339"/>
      <c r="D99" s="339"/>
      <c r="F99" s="339"/>
      <c r="G99" s="339"/>
      <c r="K99" s="339"/>
      <c r="L99" s="339"/>
    </row>
    <row r="100" spans="1:12" x14ac:dyDescent="0.3">
      <c r="C100" s="339"/>
      <c r="D100" s="339"/>
      <c r="F100" s="339"/>
      <c r="G100" s="339"/>
      <c r="K100" s="339"/>
      <c r="L100" s="339"/>
    </row>
    <row r="101" spans="1:12" x14ac:dyDescent="0.3">
      <c r="C101" s="339"/>
      <c r="D101" s="339"/>
      <c r="F101" s="339"/>
      <c r="G101" s="339"/>
      <c r="K101" s="339"/>
      <c r="L101" s="339"/>
    </row>
    <row r="102" spans="1:12" x14ac:dyDescent="0.3">
      <c r="C102" s="339"/>
      <c r="D102" s="339"/>
      <c r="F102" s="339"/>
      <c r="G102" s="339"/>
      <c r="K102" s="339"/>
      <c r="L102" s="339"/>
    </row>
    <row r="103" spans="1:12" x14ac:dyDescent="0.3">
      <c r="C103" s="339"/>
      <c r="D103" s="339"/>
      <c r="F103" s="339"/>
      <c r="G103" s="339"/>
      <c r="K103" s="339"/>
      <c r="L103" s="339"/>
    </row>
    <row r="104" spans="1:12" x14ac:dyDescent="0.3">
      <c r="C104" s="339"/>
      <c r="D104" s="339"/>
      <c r="F104" s="339"/>
      <c r="G104" s="339"/>
      <c r="K104" s="339"/>
      <c r="L104" s="339"/>
    </row>
    <row r="105" spans="1:12" x14ac:dyDescent="0.3">
      <c r="C105" s="339"/>
      <c r="D105" s="339"/>
      <c r="F105" s="339"/>
      <c r="G105" s="339"/>
      <c r="K105" s="339"/>
      <c r="L105" s="339"/>
    </row>
    <row r="106" spans="1:12" x14ac:dyDescent="0.3">
      <c r="C106" s="339"/>
      <c r="D106" s="339"/>
      <c r="F106" s="339"/>
      <c r="G106" s="339"/>
      <c r="K106" s="339"/>
      <c r="L106" s="339"/>
    </row>
    <row r="107" spans="1:12" x14ac:dyDescent="0.3">
      <c r="C107" s="339"/>
      <c r="D107" s="339"/>
      <c r="F107" s="339"/>
      <c r="G107" s="339"/>
      <c r="K107" s="339"/>
      <c r="L107" s="339"/>
    </row>
    <row r="108" spans="1:12" x14ac:dyDescent="0.3">
      <c r="C108" s="339"/>
      <c r="D108" s="339"/>
      <c r="F108" s="339"/>
      <c r="G108" s="339"/>
      <c r="K108" s="339"/>
      <c r="L108" s="339"/>
    </row>
    <row r="109" spans="1:12" x14ac:dyDescent="0.3">
      <c r="C109" s="339"/>
      <c r="D109" s="339"/>
      <c r="F109" s="339"/>
      <c r="G109" s="339"/>
      <c r="K109" s="339"/>
      <c r="L109" s="339"/>
    </row>
    <row r="110" spans="1:12" x14ac:dyDescent="0.3">
      <c r="C110" s="339"/>
      <c r="D110" s="339"/>
      <c r="F110" s="339"/>
      <c r="G110" s="339"/>
      <c r="K110" s="339"/>
      <c r="L110" s="339"/>
    </row>
    <row r="111" spans="1:12" x14ac:dyDescent="0.3">
      <c r="A111" s="3516" t="s">
        <v>0</v>
      </c>
      <c r="B111" s="3520" t="s">
        <v>4</v>
      </c>
      <c r="C111" s="3520"/>
      <c r="D111" s="3520"/>
      <c r="E111" s="3520" t="s">
        <v>20</v>
      </c>
      <c r="F111" s="3520"/>
      <c r="G111" s="3520"/>
      <c r="K111" s="339"/>
      <c r="L111" s="339"/>
    </row>
    <row r="112" spans="1:12" x14ac:dyDescent="0.3">
      <c r="A112" s="3517"/>
      <c r="B112" s="380" t="s">
        <v>28</v>
      </c>
      <c r="C112" s="723" t="s">
        <v>34</v>
      </c>
      <c r="D112" s="731" t="s">
        <v>62</v>
      </c>
      <c r="E112" s="380" t="s">
        <v>28</v>
      </c>
      <c r="F112" s="723" t="s">
        <v>34</v>
      </c>
      <c r="G112" s="731" t="s">
        <v>62</v>
      </c>
      <c r="K112" s="339"/>
      <c r="L112" s="339"/>
    </row>
    <row r="113" spans="1:12" ht="19.5" thickBot="1" x14ac:dyDescent="0.35">
      <c r="A113" s="525" t="s">
        <v>28</v>
      </c>
      <c r="B113" s="367">
        <v>0</v>
      </c>
      <c r="C113" s="724">
        <v>0</v>
      </c>
      <c r="D113" s="732">
        <v>0</v>
      </c>
      <c r="E113" s="367" t="e">
        <v>#REF!</v>
      </c>
      <c r="F113" s="724" t="e">
        <v>#REF!</v>
      </c>
      <c r="G113" s="732" t="e">
        <v>#REF!</v>
      </c>
      <c r="K113" s="339"/>
      <c r="L113" s="339"/>
    </row>
    <row r="114" spans="1:12" ht="19.5" thickTop="1" x14ac:dyDescent="0.3">
      <c r="A114" s="369" t="s">
        <v>7</v>
      </c>
      <c r="B114" s="370">
        <v>0</v>
      </c>
      <c r="C114" s="725">
        <v>0</v>
      </c>
      <c r="D114" s="733">
        <v>0</v>
      </c>
      <c r="E114" s="370" t="e">
        <v>#REF!</v>
      </c>
      <c r="F114" s="725" t="e">
        <v>#REF!</v>
      </c>
      <c r="G114" s="733" t="e">
        <v>#REF!</v>
      </c>
      <c r="K114" s="339"/>
      <c r="L114" s="339"/>
    </row>
    <row r="115" spans="1:12" x14ac:dyDescent="0.3">
      <c r="A115" s="398" t="s">
        <v>8</v>
      </c>
      <c r="B115" s="372">
        <v>0</v>
      </c>
      <c r="C115" s="726">
        <v>0</v>
      </c>
      <c r="D115" s="734">
        <v>0</v>
      </c>
      <c r="E115" s="372" t="e">
        <v>#REF!</v>
      </c>
      <c r="F115" s="726" t="e">
        <v>#REF!</v>
      </c>
      <c r="G115" s="734" t="e">
        <v>#REF!</v>
      </c>
      <c r="K115" s="339"/>
      <c r="L115" s="339"/>
    </row>
    <row r="116" spans="1:12" x14ac:dyDescent="0.3">
      <c r="A116" s="398" t="s">
        <v>306</v>
      </c>
      <c r="B116" s="372">
        <v>0</v>
      </c>
      <c r="C116" s="726">
        <v>0</v>
      </c>
      <c r="D116" s="734">
        <v>0</v>
      </c>
      <c r="E116" s="372" t="e">
        <v>#REF!</v>
      </c>
      <c r="F116" s="726" t="e">
        <v>#REF!</v>
      </c>
      <c r="G116" s="734" t="e">
        <v>#REF!</v>
      </c>
      <c r="K116" s="339"/>
      <c r="L116" s="339"/>
    </row>
    <row r="117" spans="1:12" x14ac:dyDescent="0.3">
      <c r="A117" s="372"/>
      <c r="B117" s="372"/>
      <c r="C117" s="726"/>
      <c r="D117" s="734"/>
      <c r="E117" s="372"/>
      <c r="F117" s="726"/>
      <c r="G117" s="734"/>
      <c r="K117" s="339"/>
      <c r="L117" s="339"/>
    </row>
    <row r="118" spans="1:12" x14ac:dyDescent="0.3">
      <c r="A118" s="526" t="s">
        <v>9</v>
      </c>
      <c r="B118" s="375">
        <v>0</v>
      </c>
      <c r="C118" s="727">
        <v>0</v>
      </c>
      <c r="D118" s="735">
        <v>0</v>
      </c>
      <c r="E118" s="375" t="e">
        <v>#REF!</v>
      </c>
      <c r="F118" s="727" t="e">
        <v>#REF!</v>
      </c>
      <c r="G118" s="735" t="e">
        <v>#REF!</v>
      </c>
      <c r="K118" s="339"/>
      <c r="L118" s="339"/>
    </row>
    <row r="119" spans="1:12" x14ac:dyDescent="0.3">
      <c r="A119" s="372" t="s">
        <v>308</v>
      </c>
      <c r="B119" s="372">
        <v>0</v>
      </c>
      <c r="C119" s="726">
        <v>0</v>
      </c>
      <c r="D119" s="734">
        <v>0</v>
      </c>
      <c r="E119" s="372" t="e">
        <v>#REF!</v>
      </c>
      <c r="F119" s="726" t="e">
        <v>#REF!</v>
      </c>
      <c r="G119" s="734" t="e">
        <v>#REF!</v>
      </c>
      <c r="K119" s="339"/>
      <c r="L119" s="339"/>
    </row>
    <row r="120" spans="1:12" x14ac:dyDescent="0.3">
      <c r="A120" s="372" t="s">
        <v>309</v>
      </c>
      <c r="B120" s="372">
        <v>0</v>
      </c>
      <c r="C120" s="726">
        <v>0</v>
      </c>
      <c r="D120" s="734">
        <v>0</v>
      </c>
      <c r="E120" s="372" t="e">
        <v>#REF!</v>
      </c>
      <c r="F120" s="726" t="e">
        <v>#REF!</v>
      </c>
      <c r="G120" s="734" t="e">
        <v>#REF!</v>
      </c>
      <c r="K120" s="339"/>
      <c r="L120" s="339"/>
    </row>
    <row r="121" spans="1:12" x14ac:dyDescent="0.3">
      <c r="A121" s="372" t="s">
        <v>310</v>
      </c>
      <c r="B121" s="372">
        <v>0</v>
      </c>
      <c r="C121" s="726">
        <v>0</v>
      </c>
      <c r="D121" s="734">
        <v>0</v>
      </c>
      <c r="E121" s="372" t="e">
        <v>#REF!</v>
      </c>
      <c r="F121" s="726" t="e">
        <v>#REF!</v>
      </c>
      <c r="G121" s="734" t="e">
        <v>#REF!</v>
      </c>
      <c r="K121" s="339"/>
      <c r="L121" s="339"/>
    </row>
    <row r="122" spans="1:12" x14ac:dyDescent="0.3">
      <c r="A122" s="372" t="s">
        <v>311</v>
      </c>
      <c r="B122" s="372">
        <v>0</v>
      </c>
      <c r="C122" s="726">
        <v>0</v>
      </c>
      <c r="D122" s="734">
        <v>0</v>
      </c>
      <c r="E122" s="372" t="e">
        <v>#REF!</v>
      </c>
      <c r="F122" s="726" t="e">
        <v>#REF!</v>
      </c>
      <c r="G122" s="734" t="e">
        <v>#REF!</v>
      </c>
      <c r="K122" s="339"/>
      <c r="L122" s="339"/>
    </row>
    <row r="123" spans="1:12" x14ac:dyDescent="0.3">
      <c r="A123" s="372" t="s">
        <v>312</v>
      </c>
      <c r="B123" s="372">
        <v>0</v>
      </c>
      <c r="C123" s="726">
        <v>0</v>
      </c>
      <c r="D123" s="734">
        <v>0</v>
      </c>
      <c r="E123" s="372" t="e">
        <v>#REF!</v>
      </c>
      <c r="F123" s="726" t="e">
        <v>#REF!</v>
      </c>
      <c r="G123" s="734" t="e">
        <v>#REF!</v>
      </c>
      <c r="K123" s="339"/>
      <c r="L123" s="339"/>
    </row>
    <row r="124" spans="1:12" x14ac:dyDescent="0.3">
      <c r="A124" s="372" t="s">
        <v>313</v>
      </c>
      <c r="B124" s="372">
        <v>0</v>
      </c>
      <c r="C124" s="726">
        <v>0</v>
      </c>
      <c r="D124" s="734">
        <v>0</v>
      </c>
      <c r="E124" s="372" t="e">
        <v>#REF!</v>
      </c>
      <c r="F124" s="726" t="e">
        <v>#REF!</v>
      </c>
      <c r="G124" s="734" t="e">
        <v>#REF!</v>
      </c>
      <c r="K124" s="339"/>
      <c r="L124" s="339"/>
    </row>
    <row r="125" spans="1:12" x14ac:dyDescent="0.3">
      <c r="A125" s="372" t="s">
        <v>314</v>
      </c>
      <c r="B125" s="372"/>
      <c r="C125" s="726">
        <v>0</v>
      </c>
      <c r="D125" s="734">
        <v>0</v>
      </c>
      <c r="E125" s="372"/>
      <c r="F125" s="726" t="e">
        <v>#REF!</v>
      </c>
      <c r="G125" s="734" t="e">
        <v>#REF!</v>
      </c>
      <c r="K125" s="339"/>
      <c r="L125" s="339"/>
    </row>
    <row r="126" spans="1:12" x14ac:dyDescent="0.3">
      <c r="A126" s="372" t="s">
        <v>315</v>
      </c>
      <c r="B126" s="372"/>
      <c r="C126" s="726">
        <v>0</v>
      </c>
      <c r="D126" s="734">
        <v>0</v>
      </c>
      <c r="E126" s="372"/>
      <c r="F126" s="726" t="e">
        <v>#REF!</v>
      </c>
      <c r="G126" s="734" t="e">
        <v>#REF!</v>
      </c>
      <c r="K126" s="339"/>
      <c r="L126" s="339"/>
    </row>
    <row r="127" spans="1:12" x14ac:dyDescent="0.3">
      <c r="A127" s="372" t="s">
        <v>390</v>
      </c>
      <c r="B127" s="372">
        <v>0</v>
      </c>
      <c r="C127" s="726">
        <v>0</v>
      </c>
      <c r="D127" s="734">
        <v>0</v>
      </c>
      <c r="E127" s="372">
        <v>0</v>
      </c>
      <c r="F127" s="726">
        <v>0</v>
      </c>
      <c r="G127" s="734">
        <v>0</v>
      </c>
      <c r="K127" s="339"/>
      <c r="L127" s="339"/>
    </row>
    <row r="128" spans="1:12" x14ac:dyDescent="0.3">
      <c r="A128" s="526" t="s">
        <v>12</v>
      </c>
      <c r="B128" s="375">
        <v>0</v>
      </c>
      <c r="C128" s="727">
        <v>0</v>
      </c>
      <c r="D128" s="735">
        <v>0</v>
      </c>
      <c r="E128" s="375">
        <v>0</v>
      </c>
      <c r="F128" s="727">
        <v>0</v>
      </c>
      <c r="G128" s="735">
        <v>0</v>
      </c>
      <c r="K128" s="339"/>
      <c r="L128" s="339"/>
    </row>
    <row r="129" spans="1:12" x14ac:dyDescent="0.3">
      <c r="A129" s="372" t="s">
        <v>391</v>
      </c>
      <c r="B129" s="372">
        <v>0</v>
      </c>
      <c r="C129" s="726">
        <v>0</v>
      </c>
      <c r="D129" s="734">
        <v>0</v>
      </c>
      <c r="E129" s="372">
        <v>0</v>
      </c>
      <c r="F129" s="726">
        <v>0</v>
      </c>
      <c r="G129" s="734">
        <v>0</v>
      </c>
      <c r="K129" s="339"/>
      <c r="L129" s="339"/>
    </row>
    <row r="130" spans="1:12" x14ac:dyDescent="0.3">
      <c r="A130" s="372" t="s">
        <v>392</v>
      </c>
      <c r="B130" s="372">
        <v>0</v>
      </c>
      <c r="C130" s="726">
        <v>0</v>
      </c>
      <c r="D130" s="734">
        <v>0</v>
      </c>
      <c r="E130" s="372">
        <v>0</v>
      </c>
      <c r="F130" s="726">
        <v>0</v>
      </c>
      <c r="G130" s="734">
        <v>0</v>
      </c>
      <c r="K130" s="339"/>
      <c r="L130" s="339"/>
    </row>
    <row r="131" spans="1:12" x14ac:dyDescent="0.3">
      <c r="A131" s="372" t="s">
        <v>393</v>
      </c>
      <c r="B131" s="372">
        <v>0</v>
      </c>
      <c r="C131" s="726">
        <v>0</v>
      </c>
      <c r="D131" s="734">
        <v>0</v>
      </c>
      <c r="E131" s="372">
        <v>0</v>
      </c>
      <c r="F131" s="726">
        <v>0</v>
      </c>
      <c r="G131" s="734">
        <v>0</v>
      </c>
      <c r="K131" s="339"/>
      <c r="L131" s="339"/>
    </row>
    <row r="132" spans="1:12" x14ac:dyDescent="0.3">
      <c r="A132" s="372" t="s">
        <v>394</v>
      </c>
      <c r="B132" s="372">
        <v>0</v>
      </c>
      <c r="C132" s="726">
        <v>0</v>
      </c>
      <c r="D132" s="734">
        <v>0</v>
      </c>
      <c r="E132" s="372">
        <v>0</v>
      </c>
      <c r="F132" s="726">
        <v>0</v>
      </c>
      <c r="G132" s="734">
        <v>0</v>
      </c>
      <c r="K132" s="339"/>
      <c r="L132" s="339"/>
    </row>
    <row r="133" spans="1:12" x14ac:dyDescent="0.3">
      <c r="A133" s="377"/>
      <c r="B133" s="377"/>
      <c r="C133" s="728"/>
      <c r="D133" s="736"/>
      <c r="E133" s="377"/>
      <c r="F133" s="728"/>
      <c r="G133" s="736"/>
      <c r="K133" s="339"/>
      <c r="L133" s="339"/>
    </row>
    <row r="134" spans="1:12" x14ac:dyDescent="0.3">
      <c r="C134" s="339"/>
      <c r="D134" s="339"/>
      <c r="F134" s="339"/>
      <c r="G134" s="339"/>
      <c r="K134" s="339"/>
      <c r="L134" s="339"/>
    </row>
    <row r="135" spans="1:12" x14ac:dyDescent="0.3">
      <c r="C135" s="339"/>
      <c r="D135" s="339"/>
      <c r="F135" s="339"/>
      <c r="G135" s="339"/>
      <c r="K135" s="339"/>
      <c r="L135" s="339"/>
    </row>
    <row r="136" spans="1:12" x14ac:dyDescent="0.3">
      <c r="C136" s="339"/>
      <c r="D136" s="339"/>
      <c r="F136" s="339"/>
      <c r="G136" s="339"/>
      <c r="K136" s="339"/>
      <c r="L136" s="339"/>
    </row>
    <row r="137" spans="1:12" x14ac:dyDescent="0.3">
      <c r="C137" s="339"/>
      <c r="D137" s="339"/>
      <c r="F137" s="339"/>
      <c r="G137" s="339"/>
      <c r="K137" s="339"/>
      <c r="L137" s="339"/>
    </row>
    <row r="138" spans="1:12" x14ac:dyDescent="0.3">
      <c r="C138" s="339"/>
      <c r="D138" s="339"/>
      <c r="F138" s="339"/>
      <c r="G138" s="339"/>
      <c r="K138" s="339"/>
      <c r="L138" s="339"/>
    </row>
    <row r="139" spans="1:12" x14ac:dyDescent="0.3">
      <c r="C139" s="339"/>
      <c r="D139" s="339"/>
      <c r="F139" s="339"/>
      <c r="G139" s="339"/>
      <c r="K139" s="339"/>
      <c r="L139" s="339"/>
    </row>
    <row r="140" spans="1:12" x14ac:dyDescent="0.3">
      <c r="C140" s="339"/>
      <c r="D140" s="339"/>
      <c r="F140" s="339"/>
      <c r="G140" s="339"/>
      <c r="K140" s="339"/>
      <c r="L140" s="339"/>
    </row>
    <row r="141" spans="1:12" x14ac:dyDescent="0.3">
      <c r="C141" s="339"/>
      <c r="D141" s="339"/>
      <c r="F141" s="339"/>
      <c r="G141" s="339"/>
      <c r="K141" s="339"/>
      <c r="L141" s="339"/>
    </row>
    <row r="142" spans="1:12" x14ac:dyDescent="0.3">
      <c r="C142" s="339"/>
      <c r="D142" s="339"/>
      <c r="F142" s="339"/>
      <c r="G142" s="339"/>
      <c r="K142" s="339"/>
      <c r="L142" s="339"/>
    </row>
    <row r="143" spans="1:12" x14ac:dyDescent="0.3">
      <c r="C143" s="339"/>
      <c r="D143" s="339"/>
      <c r="F143" s="339"/>
      <c r="G143" s="339"/>
      <c r="K143" s="339"/>
      <c r="L143" s="339"/>
    </row>
    <row r="144" spans="1:12" x14ac:dyDescent="0.3">
      <c r="C144" s="339"/>
      <c r="D144" s="339"/>
      <c r="F144" s="339"/>
      <c r="G144" s="339"/>
      <c r="K144" s="339"/>
      <c r="L144" s="339"/>
    </row>
    <row r="145" spans="1:12" x14ac:dyDescent="0.3">
      <c r="C145" s="339"/>
      <c r="D145" s="339"/>
      <c r="F145" s="339"/>
      <c r="G145" s="339"/>
      <c r="K145" s="339"/>
      <c r="L145" s="339"/>
    </row>
    <row r="146" spans="1:12" x14ac:dyDescent="0.3">
      <c r="C146" s="339"/>
      <c r="D146" s="339"/>
      <c r="F146" s="339"/>
      <c r="G146" s="339"/>
      <c r="K146" s="339"/>
      <c r="L146" s="339"/>
    </row>
    <row r="147" spans="1:12" x14ac:dyDescent="0.3">
      <c r="C147" s="339"/>
      <c r="D147" s="339"/>
      <c r="F147" s="339"/>
      <c r="G147" s="339"/>
      <c r="K147" s="339"/>
      <c r="L147" s="339"/>
    </row>
    <row r="148" spans="1:12" x14ac:dyDescent="0.3">
      <c r="A148" s="3516" t="s">
        <v>0</v>
      </c>
      <c r="B148" s="3520" t="s">
        <v>5</v>
      </c>
      <c r="C148" s="3520"/>
      <c r="D148" s="3520"/>
      <c r="E148" s="3520" t="s">
        <v>21</v>
      </c>
      <c r="F148" s="3520"/>
      <c r="G148" s="3520"/>
      <c r="K148" s="339"/>
      <c r="L148" s="339"/>
    </row>
    <row r="149" spans="1:12" x14ac:dyDescent="0.3">
      <c r="A149" s="3517"/>
      <c r="B149" s="380" t="s">
        <v>28</v>
      </c>
      <c r="C149" s="723" t="s">
        <v>34</v>
      </c>
      <c r="D149" s="731" t="s">
        <v>62</v>
      </c>
      <c r="E149" s="380" t="s">
        <v>28</v>
      </c>
      <c r="F149" s="723" t="s">
        <v>34</v>
      </c>
      <c r="G149" s="731" t="s">
        <v>62</v>
      </c>
      <c r="K149" s="339"/>
      <c r="L149" s="339"/>
    </row>
    <row r="150" spans="1:12" ht="19.5" thickBot="1" x14ac:dyDescent="0.35">
      <c r="A150" s="525" t="s">
        <v>28</v>
      </c>
      <c r="B150" s="367" t="e">
        <v>#REF!</v>
      </c>
      <c r="C150" s="724">
        <v>36800</v>
      </c>
      <c r="D150" s="732" t="e">
        <v>#REF!</v>
      </c>
      <c r="E150" s="367">
        <v>0</v>
      </c>
      <c r="F150" s="724">
        <v>0</v>
      </c>
      <c r="G150" s="732">
        <v>0</v>
      </c>
      <c r="K150" s="339"/>
      <c r="L150" s="339"/>
    </row>
    <row r="151" spans="1:12" ht="19.5" thickTop="1" x14ac:dyDescent="0.3">
      <c r="A151" s="369" t="s">
        <v>7</v>
      </c>
      <c r="B151" s="370">
        <v>0</v>
      </c>
      <c r="C151" s="725">
        <v>0</v>
      </c>
      <c r="D151" s="733">
        <v>0</v>
      </c>
      <c r="E151" s="370">
        <v>0</v>
      </c>
      <c r="F151" s="725">
        <v>0</v>
      </c>
      <c r="G151" s="733">
        <v>0</v>
      </c>
      <c r="K151" s="339"/>
      <c r="L151" s="339"/>
    </row>
    <row r="152" spans="1:12" x14ac:dyDescent="0.3">
      <c r="A152" s="398" t="s">
        <v>8</v>
      </c>
      <c r="B152" s="372">
        <v>0</v>
      </c>
      <c r="C152" s="726">
        <v>0</v>
      </c>
      <c r="D152" s="734">
        <v>0</v>
      </c>
      <c r="E152" s="372">
        <v>0</v>
      </c>
      <c r="F152" s="726"/>
      <c r="G152" s="734"/>
      <c r="K152" s="339"/>
      <c r="L152" s="339"/>
    </row>
    <row r="153" spans="1:12" x14ac:dyDescent="0.3">
      <c r="A153" s="398" t="s">
        <v>306</v>
      </c>
      <c r="B153" s="372">
        <v>0</v>
      </c>
      <c r="C153" s="726">
        <v>0</v>
      </c>
      <c r="D153" s="734">
        <v>0</v>
      </c>
      <c r="E153" s="372">
        <v>0</v>
      </c>
      <c r="F153" s="726"/>
      <c r="G153" s="734"/>
      <c r="K153" s="339"/>
      <c r="L153" s="339"/>
    </row>
    <row r="154" spans="1:12" x14ac:dyDescent="0.3">
      <c r="A154" s="372"/>
      <c r="B154" s="372"/>
      <c r="C154" s="726"/>
      <c r="D154" s="734"/>
      <c r="E154" s="372"/>
      <c r="F154" s="726"/>
      <c r="G154" s="734"/>
      <c r="K154" s="339"/>
      <c r="L154" s="339"/>
    </row>
    <row r="155" spans="1:12" x14ac:dyDescent="0.3">
      <c r="A155" s="526" t="s">
        <v>9</v>
      </c>
      <c r="B155" s="527" t="e">
        <v>#REF!</v>
      </c>
      <c r="C155" s="727">
        <v>36800</v>
      </c>
      <c r="D155" s="738" t="e">
        <v>#REF!</v>
      </c>
      <c r="E155" s="375">
        <v>0</v>
      </c>
      <c r="F155" s="727">
        <v>0</v>
      </c>
      <c r="G155" s="735">
        <v>0</v>
      </c>
      <c r="K155" s="339"/>
      <c r="L155" s="339"/>
    </row>
    <row r="156" spans="1:12" x14ac:dyDescent="0.3">
      <c r="A156" s="372" t="s">
        <v>308</v>
      </c>
      <c r="B156" s="381">
        <v>0</v>
      </c>
      <c r="C156" s="726">
        <v>0</v>
      </c>
      <c r="D156" s="739">
        <v>0</v>
      </c>
      <c r="E156" s="372">
        <v>0</v>
      </c>
      <c r="F156" s="726"/>
      <c r="G156" s="734"/>
      <c r="K156" s="339"/>
      <c r="L156" s="339"/>
    </row>
    <row r="157" spans="1:12" x14ac:dyDescent="0.3">
      <c r="A157" s="372" t="s">
        <v>309</v>
      </c>
      <c r="B157" s="372">
        <v>36800</v>
      </c>
      <c r="C157" s="726">
        <v>36800</v>
      </c>
      <c r="D157" s="734">
        <v>0</v>
      </c>
      <c r="E157" s="372">
        <v>0</v>
      </c>
      <c r="F157" s="726"/>
      <c r="G157" s="734"/>
      <c r="K157" s="339"/>
      <c r="L157" s="339"/>
    </row>
    <row r="158" spans="1:12" x14ac:dyDescent="0.3">
      <c r="A158" s="372" t="s">
        <v>310</v>
      </c>
      <c r="B158" s="372">
        <v>0</v>
      </c>
      <c r="C158" s="726">
        <v>0</v>
      </c>
      <c r="D158" s="734">
        <v>0</v>
      </c>
      <c r="E158" s="372">
        <v>0</v>
      </c>
      <c r="F158" s="726"/>
      <c r="G158" s="734"/>
      <c r="K158" s="339"/>
      <c r="L158" s="339"/>
    </row>
    <row r="159" spans="1:12" x14ac:dyDescent="0.3">
      <c r="A159" s="372" t="s">
        <v>311</v>
      </c>
      <c r="B159" s="372">
        <v>0</v>
      </c>
      <c r="C159" s="726">
        <v>0</v>
      </c>
      <c r="D159" s="734">
        <v>0</v>
      </c>
      <c r="E159" s="372">
        <v>0</v>
      </c>
      <c r="F159" s="726"/>
      <c r="G159" s="734"/>
      <c r="K159" s="339"/>
      <c r="L159" s="339"/>
    </row>
    <row r="160" spans="1:12" x14ac:dyDescent="0.3">
      <c r="A160" s="372" t="s">
        <v>312</v>
      </c>
      <c r="B160" s="372">
        <v>0</v>
      </c>
      <c r="C160" s="726">
        <v>0</v>
      </c>
      <c r="D160" s="734">
        <v>0</v>
      </c>
      <c r="E160" s="372">
        <v>0</v>
      </c>
      <c r="F160" s="726"/>
      <c r="G160" s="734"/>
      <c r="K160" s="339"/>
      <c r="L160" s="339"/>
    </row>
    <row r="161" spans="1:12" x14ac:dyDescent="0.3">
      <c r="A161" s="372" t="s">
        <v>313</v>
      </c>
      <c r="B161" s="372" t="e">
        <v>#REF!</v>
      </c>
      <c r="C161" s="726">
        <v>0</v>
      </c>
      <c r="D161" s="734" t="e">
        <v>#REF!</v>
      </c>
      <c r="E161" s="372">
        <v>0</v>
      </c>
      <c r="F161" s="726"/>
      <c r="G161" s="734"/>
      <c r="K161" s="339"/>
      <c r="L161" s="339"/>
    </row>
    <row r="162" spans="1:12" x14ac:dyDescent="0.3">
      <c r="A162" s="372" t="s">
        <v>314</v>
      </c>
      <c r="B162" s="372"/>
      <c r="C162" s="726" t="e">
        <v>#REF!</v>
      </c>
      <c r="D162" s="734" t="e">
        <v>#REF!</v>
      </c>
      <c r="E162" s="372"/>
      <c r="F162" s="726"/>
      <c r="G162" s="734"/>
      <c r="K162" s="339"/>
      <c r="L162" s="339"/>
    </row>
    <row r="163" spans="1:12" x14ac:dyDescent="0.3">
      <c r="A163" s="372" t="s">
        <v>315</v>
      </c>
      <c r="B163" s="372"/>
      <c r="C163" s="726" t="e">
        <v>#REF!</v>
      </c>
      <c r="D163" s="734" t="e">
        <v>#REF!</v>
      </c>
      <c r="E163" s="372"/>
      <c r="F163" s="726"/>
      <c r="G163" s="734"/>
      <c r="K163" s="339"/>
      <c r="L163" s="339"/>
    </row>
    <row r="164" spans="1:12" x14ac:dyDescent="0.3">
      <c r="A164" s="372" t="s">
        <v>390</v>
      </c>
      <c r="B164" s="372">
        <v>0</v>
      </c>
      <c r="C164" s="726">
        <v>0</v>
      </c>
      <c r="D164" s="734">
        <v>0</v>
      </c>
      <c r="E164" s="372">
        <v>0</v>
      </c>
      <c r="F164" s="726">
        <v>0</v>
      </c>
      <c r="G164" s="734">
        <v>0</v>
      </c>
      <c r="K164" s="339"/>
      <c r="L164" s="339"/>
    </row>
    <row r="165" spans="1:12" x14ac:dyDescent="0.3">
      <c r="A165" s="526" t="s">
        <v>12</v>
      </c>
      <c r="B165" s="375">
        <v>0</v>
      </c>
      <c r="C165" s="727">
        <v>0</v>
      </c>
      <c r="D165" s="735">
        <v>0</v>
      </c>
      <c r="E165" s="375">
        <v>0</v>
      </c>
      <c r="F165" s="727">
        <v>0</v>
      </c>
      <c r="G165" s="735">
        <v>0</v>
      </c>
      <c r="K165" s="339"/>
      <c r="L165" s="339"/>
    </row>
    <row r="166" spans="1:12" x14ac:dyDescent="0.3">
      <c r="A166" s="372" t="s">
        <v>391</v>
      </c>
      <c r="B166" s="372">
        <v>0</v>
      </c>
      <c r="C166" s="726">
        <v>0</v>
      </c>
      <c r="D166" s="734">
        <v>0</v>
      </c>
      <c r="E166" s="372">
        <v>0</v>
      </c>
      <c r="F166" s="726">
        <v>0</v>
      </c>
      <c r="G166" s="734">
        <v>0</v>
      </c>
      <c r="K166" s="339"/>
      <c r="L166" s="339"/>
    </row>
    <row r="167" spans="1:12" x14ac:dyDescent="0.3">
      <c r="A167" s="372" t="s">
        <v>392</v>
      </c>
      <c r="B167" s="372">
        <v>0</v>
      </c>
      <c r="C167" s="726">
        <v>0</v>
      </c>
      <c r="D167" s="734">
        <v>0</v>
      </c>
      <c r="E167" s="372">
        <v>0</v>
      </c>
      <c r="F167" s="726">
        <v>0</v>
      </c>
      <c r="G167" s="734">
        <v>0</v>
      </c>
      <c r="K167" s="339"/>
      <c r="L167" s="339"/>
    </row>
    <row r="168" spans="1:12" x14ac:dyDescent="0.3">
      <c r="A168" s="372" t="s">
        <v>393</v>
      </c>
      <c r="B168" s="372">
        <v>0</v>
      </c>
      <c r="C168" s="726">
        <v>0</v>
      </c>
      <c r="D168" s="734">
        <v>0</v>
      </c>
      <c r="E168" s="372">
        <v>0</v>
      </c>
      <c r="F168" s="726">
        <v>0</v>
      </c>
      <c r="G168" s="734">
        <v>0</v>
      </c>
      <c r="K168" s="339"/>
      <c r="L168" s="339"/>
    </row>
    <row r="169" spans="1:12" x14ac:dyDescent="0.3">
      <c r="A169" s="372" t="s">
        <v>394</v>
      </c>
      <c r="B169" s="372">
        <v>0</v>
      </c>
      <c r="C169" s="726">
        <v>0</v>
      </c>
      <c r="D169" s="734">
        <v>0</v>
      </c>
      <c r="E169" s="372">
        <v>0</v>
      </c>
      <c r="F169" s="726">
        <v>0</v>
      </c>
      <c r="G169" s="734">
        <v>0</v>
      </c>
      <c r="K169" s="339"/>
      <c r="L169" s="339"/>
    </row>
    <row r="170" spans="1:12" x14ac:dyDescent="0.3">
      <c r="A170" s="377"/>
      <c r="B170" s="377"/>
      <c r="C170" s="728"/>
      <c r="D170" s="736"/>
      <c r="E170" s="377"/>
      <c r="F170" s="728"/>
      <c r="G170" s="736"/>
      <c r="K170" s="339"/>
      <c r="L170" s="339"/>
    </row>
    <row r="171" spans="1:12" x14ac:dyDescent="0.3">
      <c r="C171" s="339"/>
      <c r="D171" s="339"/>
      <c r="F171" s="339"/>
      <c r="G171" s="339"/>
      <c r="K171" s="339"/>
      <c r="L171" s="339"/>
    </row>
    <row r="172" spans="1:12" x14ac:dyDescent="0.3">
      <c r="C172" s="339"/>
      <c r="D172" s="339"/>
      <c r="F172" s="339"/>
      <c r="G172" s="339"/>
      <c r="K172" s="339"/>
      <c r="L172" s="339"/>
    </row>
    <row r="173" spans="1:12" x14ac:dyDescent="0.3">
      <c r="C173" s="339"/>
      <c r="D173" s="339"/>
      <c r="F173" s="339"/>
      <c r="G173" s="339"/>
      <c r="K173" s="339"/>
      <c r="L173" s="339"/>
    </row>
    <row r="174" spans="1:12" x14ac:dyDescent="0.3">
      <c r="C174" s="339"/>
      <c r="D174" s="339"/>
      <c r="F174" s="339"/>
      <c r="G174" s="339"/>
      <c r="K174" s="339"/>
      <c r="L174" s="339"/>
    </row>
    <row r="175" spans="1:12" x14ac:dyDescent="0.3">
      <c r="C175" s="339"/>
      <c r="D175" s="339"/>
      <c r="F175" s="339"/>
      <c r="G175" s="339"/>
      <c r="K175" s="339"/>
      <c r="L175" s="339"/>
    </row>
    <row r="176" spans="1:12" x14ac:dyDescent="0.3">
      <c r="C176" s="339"/>
      <c r="D176" s="339"/>
      <c r="F176" s="339"/>
      <c r="G176" s="339"/>
      <c r="K176" s="339"/>
      <c r="L176" s="339"/>
    </row>
    <row r="177" s="339" customFormat="1" x14ac:dyDescent="0.3"/>
    <row r="178" s="339" customFormat="1" x14ac:dyDescent="0.3"/>
    <row r="179" s="339" customFormat="1" x14ac:dyDescent="0.3"/>
    <row r="180" s="339" customFormat="1" x14ac:dyDescent="0.3"/>
    <row r="181" s="339" customFormat="1" x14ac:dyDescent="0.3"/>
    <row r="182" s="339" customFormat="1" x14ac:dyDescent="0.3"/>
    <row r="183" s="339" customFormat="1" x14ac:dyDescent="0.3"/>
    <row r="184" s="339" customFormat="1" x14ac:dyDescent="0.3"/>
    <row r="185" s="339" customFormat="1" x14ac:dyDescent="0.3"/>
    <row r="186" s="339" customFormat="1" x14ac:dyDescent="0.3"/>
    <row r="187" s="339" customFormat="1" x14ac:dyDescent="0.3"/>
    <row r="188" s="339" customFormat="1" x14ac:dyDescent="0.3"/>
    <row r="189" s="339" customFormat="1" x14ac:dyDescent="0.3"/>
    <row r="190" s="339" customFormat="1" x14ac:dyDescent="0.3"/>
    <row r="191" s="339" customFormat="1" x14ac:dyDescent="0.3"/>
    <row r="192" s="339" customFormat="1" x14ac:dyDescent="0.3"/>
    <row r="193" s="339" customFormat="1" x14ac:dyDescent="0.3"/>
    <row r="194" s="339" customFormat="1" x14ac:dyDescent="0.3"/>
    <row r="195" s="339" customFormat="1" x14ac:dyDescent="0.3"/>
    <row r="196" s="339" customFormat="1" x14ac:dyDescent="0.3"/>
    <row r="197" s="339" customFormat="1" x14ac:dyDescent="0.3"/>
    <row r="198" s="339" customFormat="1" x14ac:dyDescent="0.3"/>
    <row r="199" s="339" customFormat="1" x14ac:dyDescent="0.3"/>
    <row r="200" s="339" customFormat="1" x14ac:dyDescent="0.3"/>
    <row r="201" s="339" customFormat="1" x14ac:dyDescent="0.3"/>
    <row r="202" s="339" customFormat="1" x14ac:dyDescent="0.3"/>
    <row r="203" s="339" customFormat="1" x14ac:dyDescent="0.3"/>
    <row r="204" s="339" customFormat="1" x14ac:dyDescent="0.3"/>
    <row r="205" s="339" customFormat="1" x14ac:dyDescent="0.3"/>
    <row r="206" s="339" customFormat="1" x14ac:dyDescent="0.3"/>
    <row r="207" s="339" customFormat="1" x14ac:dyDescent="0.3"/>
    <row r="208" s="339" customFormat="1" x14ac:dyDescent="0.3"/>
    <row r="209" s="339" customFormat="1" x14ac:dyDescent="0.3"/>
    <row r="210" s="339" customFormat="1" x14ac:dyDescent="0.3"/>
    <row r="211" s="339" customFormat="1" x14ac:dyDescent="0.3"/>
    <row r="212" s="339" customFormat="1" x14ac:dyDescent="0.3"/>
    <row r="213" s="339" customFormat="1" x14ac:dyDescent="0.3"/>
    <row r="214" s="339" customFormat="1" x14ac:dyDescent="0.3"/>
    <row r="215" s="339" customFormat="1" x14ac:dyDescent="0.3"/>
    <row r="216" s="339" customFormat="1" x14ac:dyDescent="0.3"/>
    <row r="217" s="339" customFormat="1" x14ac:dyDescent="0.3"/>
    <row r="218" s="339" customFormat="1" x14ac:dyDescent="0.3"/>
    <row r="219" s="339" customFormat="1" x14ac:dyDescent="0.3"/>
    <row r="220" s="339" customFormat="1" x14ac:dyDescent="0.3"/>
    <row r="221" s="339" customFormat="1" x14ac:dyDescent="0.3"/>
    <row r="222" s="339" customFormat="1" x14ac:dyDescent="0.3"/>
    <row r="223" s="339" customFormat="1" x14ac:dyDescent="0.3"/>
    <row r="224" s="339" customFormat="1" x14ac:dyDescent="0.3"/>
    <row r="225" s="339" customFormat="1" x14ac:dyDescent="0.3"/>
    <row r="226" s="339" customFormat="1" x14ac:dyDescent="0.3"/>
    <row r="227" s="339" customFormat="1" x14ac:dyDescent="0.3"/>
    <row r="228" s="339" customFormat="1" x14ac:dyDescent="0.3"/>
    <row r="229" s="339" customFormat="1" x14ac:dyDescent="0.3"/>
    <row r="230" s="339" customFormat="1" x14ac:dyDescent="0.3"/>
    <row r="231" s="339" customFormat="1" x14ac:dyDescent="0.3"/>
    <row r="232" s="339" customFormat="1" x14ac:dyDescent="0.3"/>
    <row r="233" s="339" customFormat="1" x14ac:dyDescent="0.3"/>
    <row r="234" s="339" customFormat="1" x14ac:dyDescent="0.3"/>
    <row r="235" s="339" customFormat="1" x14ac:dyDescent="0.3"/>
    <row r="236" s="339" customFormat="1" x14ac:dyDescent="0.3"/>
    <row r="237" s="339" customFormat="1" x14ac:dyDescent="0.3"/>
    <row r="238" s="339" customFormat="1" x14ac:dyDescent="0.3"/>
    <row r="239" s="339" customFormat="1" x14ac:dyDescent="0.3"/>
    <row r="240" s="339" customFormat="1" x14ac:dyDescent="0.3"/>
    <row r="241" s="339" customFormat="1" x14ac:dyDescent="0.3"/>
    <row r="242" s="339" customFormat="1" x14ac:dyDescent="0.3"/>
    <row r="243" s="339" customFormat="1" x14ac:dyDescent="0.3"/>
    <row r="244" s="339" customFormat="1" x14ac:dyDescent="0.3"/>
    <row r="245" s="339" customFormat="1" x14ac:dyDescent="0.3"/>
    <row r="246" s="339" customFormat="1" x14ac:dyDescent="0.3"/>
    <row r="247" s="339" customFormat="1" x14ac:dyDescent="0.3"/>
    <row r="248" s="339" customFormat="1" x14ac:dyDescent="0.3"/>
    <row r="249" s="339" customFormat="1" x14ac:dyDescent="0.3"/>
    <row r="250" s="339" customFormat="1" x14ac:dyDescent="0.3"/>
    <row r="251" s="339" customFormat="1" x14ac:dyDescent="0.3"/>
    <row r="252" s="339" customFormat="1" x14ac:dyDescent="0.3"/>
    <row r="253" s="339" customFormat="1" x14ac:dyDescent="0.3"/>
    <row r="254" s="339" customFormat="1" x14ac:dyDescent="0.3"/>
    <row r="255" s="339" customFormat="1" x14ac:dyDescent="0.3"/>
    <row r="256" s="339" customFormat="1" x14ac:dyDescent="0.3"/>
    <row r="257" s="339" customFormat="1" x14ac:dyDescent="0.3"/>
    <row r="258" s="339" customFormat="1" x14ac:dyDescent="0.3"/>
    <row r="259" s="339" customFormat="1" x14ac:dyDescent="0.3"/>
    <row r="260" s="339" customFormat="1" x14ac:dyDescent="0.3"/>
    <row r="261" s="339" customFormat="1" x14ac:dyDescent="0.3"/>
    <row r="262" s="339" customFormat="1" x14ac:dyDescent="0.3"/>
    <row r="263" s="339" customFormat="1" x14ac:dyDescent="0.3"/>
    <row r="264" s="339" customFormat="1" x14ac:dyDescent="0.3"/>
    <row r="265" s="339" customFormat="1" x14ac:dyDescent="0.3"/>
    <row r="266" s="339" customFormat="1" x14ac:dyDescent="0.3"/>
    <row r="267" s="339" customFormat="1" x14ac:dyDescent="0.3"/>
    <row r="268" s="339" customFormat="1" x14ac:dyDescent="0.3"/>
    <row r="269" s="339" customFormat="1" x14ac:dyDescent="0.3"/>
    <row r="270" s="339" customFormat="1" x14ac:dyDescent="0.3"/>
    <row r="271" s="339" customFormat="1" x14ac:dyDescent="0.3"/>
    <row r="272" s="339" customFormat="1" x14ac:dyDescent="0.3"/>
    <row r="273" s="339" customFormat="1" x14ac:dyDescent="0.3"/>
    <row r="274" s="339" customFormat="1" x14ac:dyDescent="0.3"/>
    <row r="275" s="339" customFormat="1" x14ac:dyDescent="0.3"/>
    <row r="276" s="339" customFormat="1" x14ac:dyDescent="0.3"/>
    <row r="277" s="339" customFormat="1" x14ac:dyDescent="0.3"/>
    <row r="278" s="339" customFormat="1" x14ac:dyDescent="0.3"/>
    <row r="279" s="339" customFormat="1" x14ac:dyDescent="0.3"/>
    <row r="280" s="339" customFormat="1" x14ac:dyDescent="0.3"/>
    <row r="281" s="339" customFormat="1" x14ac:dyDescent="0.3"/>
    <row r="282" s="339" customFormat="1" x14ac:dyDescent="0.3"/>
    <row r="283" s="339" customFormat="1" x14ac:dyDescent="0.3"/>
    <row r="284" s="339" customFormat="1" x14ac:dyDescent="0.3"/>
    <row r="285" s="339" customFormat="1" x14ac:dyDescent="0.3"/>
    <row r="286" s="339" customFormat="1" x14ac:dyDescent="0.3"/>
    <row r="287" s="339" customFormat="1" x14ac:dyDescent="0.3"/>
    <row r="288" s="339" customFormat="1" x14ac:dyDescent="0.3"/>
    <row r="289" s="339" customFormat="1" x14ac:dyDescent="0.3"/>
    <row r="290" s="339" customFormat="1" x14ac:dyDescent="0.3"/>
    <row r="291" s="339" customFormat="1" x14ac:dyDescent="0.3"/>
    <row r="292" s="339" customFormat="1" x14ac:dyDescent="0.3"/>
    <row r="293" s="339" customFormat="1" x14ac:dyDescent="0.3"/>
    <row r="294" s="339" customFormat="1" x14ac:dyDescent="0.3"/>
    <row r="295" s="339" customFormat="1" x14ac:dyDescent="0.3"/>
    <row r="296" s="339" customFormat="1" x14ac:dyDescent="0.3"/>
    <row r="297" s="339" customFormat="1" x14ac:dyDescent="0.3"/>
    <row r="298" s="339" customFormat="1" x14ac:dyDescent="0.3"/>
    <row r="299" s="339" customFormat="1" x14ac:dyDescent="0.3"/>
    <row r="300" s="339" customFormat="1" x14ac:dyDescent="0.3"/>
    <row r="301" s="339" customFormat="1" x14ac:dyDescent="0.3"/>
    <row r="302" s="339" customFormat="1" x14ac:dyDescent="0.3"/>
    <row r="303" s="339" customFormat="1" x14ac:dyDescent="0.3"/>
    <row r="304" s="339" customFormat="1" x14ac:dyDescent="0.3"/>
    <row r="305" s="339" customFormat="1" x14ac:dyDescent="0.3"/>
    <row r="306" s="339" customFormat="1" x14ac:dyDescent="0.3"/>
    <row r="307" s="339" customFormat="1" x14ac:dyDescent="0.3"/>
    <row r="308" s="339" customFormat="1" x14ac:dyDescent="0.3"/>
    <row r="309" s="339" customFormat="1" x14ac:dyDescent="0.3"/>
    <row r="310" s="339" customFormat="1" x14ac:dyDescent="0.3"/>
    <row r="311" s="339" customFormat="1" x14ac:dyDescent="0.3"/>
    <row r="312" s="339" customFormat="1" x14ac:dyDescent="0.3"/>
    <row r="313" s="339" customFormat="1" x14ac:dyDescent="0.3"/>
    <row r="314" s="339" customFormat="1" x14ac:dyDescent="0.3"/>
    <row r="315" s="339" customFormat="1" x14ac:dyDescent="0.3"/>
    <row r="316" s="339" customFormat="1" x14ac:dyDescent="0.3"/>
    <row r="317" s="339" customFormat="1" x14ac:dyDescent="0.3"/>
    <row r="318" s="339" customFormat="1" x14ac:dyDescent="0.3"/>
    <row r="319" s="339" customFormat="1" x14ac:dyDescent="0.3"/>
    <row r="320" s="339" customFormat="1" x14ac:dyDescent="0.3"/>
    <row r="321" s="339" customFormat="1" x14ac:dyDescent="0.3"/>
    <row r="322" s="339" customFormat="1" x14ac:dyDescent="0.3"/>
    <row r="323" s="339" customFormat="1" x14ac:dyDescent="0.3"/>
    <row r="324" s="339" customFormat="1" x14ac:dyDescent="0.3"/>
    <row r="325" s="339" customFormat="1" x14ac:dyDescent="0.3"/>
    <row r="326" s="339" customFormat="1" x14ac:dyDescent="0.3"/>
    <row r="327" s="339" customFormat="1" x14ac:dyDescent="0.3"/>
    <row r="328" s="339" customFormat="1" x14ac:dyDescent="0.3"/>
    <row r="329" s="339" customFormat="1" x14ac:dyDescent="0.3"/>
    <row r="330" s="339" customFormat="1" x14ac:dyDescent="0.3"/>
    <row r="331" s="339" customFormat="1" x14ac:dyDescent="0.3"/>
    <row r="332" s="339" customFormat="1" x14ac:dyDescent="0.3"/>
    <row r="333" s="339" customFormat="1" x14ac:dyDescent="0.3"/>
    <row r="334" s="339" customFormat="1" x14ac:dyDescent="0.3"/>
    <row r="335" s="339" customFormat="1" x14ac:dyDescent="0.3"/>
    <row r="336" s="339" customFormat="1" x14ac:dyDescent="0.3"/>
    <row r="337" s="339" customFormat="1" x14ac:dyDescent="0.3"/>
    <row r="338" s="339" customFormat="1" x14ac:dyDescent="0.3"/>
    <row r="339" s="339" customFormat="1" x14ac:dyDescent="0.3"/>
    <row r="340" s="339" customFormat="1" x14ac:dyDescent="0.3"/>
    <row r="341" s="339" customFormat="1" x14ac:dyDescent="0.3"/>
    <row r="342" s="339" customFormat="1" x14ac:dyDescent="0.3"/>
    <row r="343" s="339" customFormat="1" x14ac:dyDescent="0.3"/>
    <row r="344" s="339" customFormat="1" x14ac:dyDescent="0.3"/>
    <row r="345" s="339" customFormat="1" x14ac:dyDescent="0.3"/>
    <row r="346" s="339" customFormat="1" x14ac:dyDescent="0.3"/>
  </sheetData>
  <mergeCells count="17">
    <mergeCell ref="A3:A4"/>
    <mergeCell ref="B3:D3"/>
    <mergeCell ref="E3:G3"/>
    <mergeCell ref="I3:I4"/>
    <mergeCell ref="J3:L3"/>
    <mergeCell ref="A37:A38"/>
    <mergeCell ref="B37:D37"/>
    <mergeCell ref="E37:G37"/>
    <mergeCell ref="A148:A149"/>
    <mergeCell ref="B148:D148"/>
    <mergeCell ref="E148:G148"/>
    <mergeCell ref="A74:A75"/>
    <mergeCell ref="B74:D74"/>
    <mergeCell ref="E74:G74"/>
    <mergeCell ref="A111:A112"/>
    <mergeCell ref="B111:D111"/>
    <mergeCell ref="E111:G111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66FFCC"/>
  </sheetPr>
  <dimension ref="A1:T381"/>
  <sheetViews>
    <sheetView zoomScaleNormal="100" workbookViewId="0">
      <selection activeCell="A3" sqref="A1:XFD1048576"/>
    </sheetView>
  </sheetViews>
  <sheetFormatPr defaultColWidth="9.140625" defaultRowHeight="18.75" x14ac:dyDescent="0.3"/>
  <cols>
    <col min="1" max="1" width="22.5703125" style="395" customWidth="1"/>
    <col min="2" max="2" width="10" style="414" customWidth="1"/>
    <col min="3" max="3" width="10.140625" style="722" customWidth="1"/>
    <col min="4" max="4" width="9" style="730" customWidth="1"/>
    <col min="5" max="5" width="12" style="339" customWidth="1"/>
    <col min="6" max="6" width="13.85546875" style="722" customWidth="1"/>
    <col min="7" max="7" width="10.85546875" style="730" customWidth="1"/>
    <col min="8" max="8" width="11" style="395" bestFit="1" customWidth="1"/>
    <col min="9" max="9" width="23.28515625" style="339" customWidth="1"/>
    <col min="10" max="10" width="11" style="339" customWidth="1"/>
    <col min="11" max="11" width="11.85546875" style="722" customWidth="1"/>
    <col min="12" max="12" width="11.28515625" style="730" customWidth="1"/>
    <col min="13" max="14" width="10.42578125" style="395" customWidth="1"/>
    <col min="15" max="15" width="9.140625" style="395"/>
    <col min="16" max="16" width="19.140625" style="395" customWidth="1"/>
    <col min="17" max="16384" width="9.140625" style="395"/>
  </cols>
  <sheetData>
    <row r="1" spans="1:20" x14ac:dyDescent="0.3">
      <c r="A1" s="415" t="s">
        <v>812</v>
      </c>
      <c r="K1" s="339"/>
      <c r="L1" s="382"/>
      <c r="N1" s="416"/>
      <c r="Q1" s="472"/>
      <c r="R1" s="472"/>
      <c r="S1" s="473"/>
      <c r="T1" s="474"/>
    </row>
    <row r="2" spans="1:20" x14ac:dyDescent="0.3">
      <c r="K2" s="339"/>
      <c r="L2" s="339"/>
      <c r="N2" s="395" t="s">
        <v>284</v>
      </c>
      <c r="P2" s="395">
        <v>18766300</v>
      </c>
      <c r="Q2" s="472"/>
      <c r="R2" s="472"/>
      <c r="S2" s="476"/>
      <c r="T2" s="472"/>
    </row>
    <row r="3" spans="1:20" ht="24.95" customHeight="1" x14ac:dyDescent="0.3">
      <c r="A3" s="3513" t="s">
        <v>0</v>
      </c>
      <c r="B3" s="3519" t="s">
        <v>6</v>
      </c>
      <c r="C3" s="3519"/>
      <c r="D3" s="3519"/>
      <c r="E3" s="3520" t="s">
        <v>2</v>
      </c>
      <c r="F3" s="3520"/>
      <c r="G3" s="3520"/>
      <c r="I3" s="3516" t="s">
        <v>0</v>
      </c>
      <c r="J3" s="3520" t="s">
        <v>28</v>
      </c>
      <c r="K3" s="3520"/>
      <c r="L3" s="3520"/>
      <c r="N3" s="417" t="s">
        <v>304</v>
      </c>
      <c r="Q3" s="472"/>
      <c r="R3" s="472"/>
      <c r="S3" s="472"/>
      <c r="T3" s="472"/>
    </row>
    <row r="4" spans="1:20" ht="24.95" customHeight="1" x14ac:dyDescent="0.3">
      <c r="A4" s="3514"/>
      <c r="B4" s="418" t="s">
        <v>28</v>
      </c>
      <c r="C4" s="723" t="s">
        <v>34</v>
      </c>
      <c r="D4" s="731" t="s">
        <v>62</v>
      </c>
      <c r="E4" s="380" t="s">
        <v>28</v>
      </c>
      <c r="F4" s="723" t="s">
        <v>34</v>
      </c>
      <c r="G4" s="731" t="s">
        <v>62</v>
      </c>
      <c r="I4" s="3517"/>
      <c r="J4" s="380" t="s">
        <v>28</v>
      </c>
      <c r="K4" s="723" t="s">
        <v>34</v>
      </c>
      <c r="L4" s="731" t="s">
        <v>62</v>
      </c>
    </row>
    <row r="5" spans="1:20" ht="24.95" customHeight="1" thickBot="1" x14ac:dyDescent="0.35">
      <c r="A5" s="419" t="s">
        <v>28</v>
      </c>
      <c r="B5" s="420">
        <v>0</v>
      </c>
      <c r="C5" s="724">
        <v>0</v>
      </c>
      <c r="D5" s="732">
        <v>0</v>
      </c>
      <c r="E5" s="367">
        <v>0</v>
      </c>
      <c r="F5" s="724">
        <v>0</v>
      </c>
      <c r="G5" s="732">
        <v>0</v>
      </c>
      <c r="I5" s="525" t="s">
        <v>28</v>
      </c>
      <c r="J5" s="367">
        <v>0</v>
      </c>
      <c r="K5" s="724">
        <v>0</v>
      </c>
      <c r="L5" s="732">
        <v>0</v>
      </c>
    </row>
    <row r="6" spans="1:20" s="415" customFormat="1" ht="24.95" customHeight="1" thickTop="1" x14ac:dyDescent="0.3">
      <c r="A6" s="369" t="s">
        <v>7</v>
      </c>
      <c r="B6" s="421">
        <v>0</v>
      </c>
      <c r="C6" s="725">
        <v>0</v>
      </c>
      <c r="D6" s="733">
        <v>0</v>
      </c>
      <c r="E6" s="370">
        <v>0</v>
      </c>
      <c r="F6" s="725">
        <v>0</v>
      </c>
      <c r="G6" s="733">
        <v>0</v>
      </c>
      <c r="I6" s="369" t="s">
        <v>7</v>
      </c>
      <c r="J6" s="370">
        <v>0</v>
      </c>
      <c r="K6" s="725">
        <v>0</v>
      </c>
      <c r="L6" s="733">
        <v>0</v>
      </c>
    </row>
    <row r="7" spans="1:20" ht="24.95" customHeight="1" x14ac:dyDescent="0.3">
      <c r="A7" s="398" t="s">
        <v>8</v>
      </c>
      <c r="B7" s="422">
        <v>0</v>
      </c>
      <c r="C7" s="726">
        <v>0</v>
      </c>
      <c r="D7" s="734">
        <v>0</v>
      </c>
      <c r="E7" s="372">
        <v>0</v>
      </c>
      <c r="F7" s="726">
        <v>0</v>
      </c>
      <c r="G7" s="734">
        <v>0</v>
      </c>
      <c r="I7" s="398" t="s">
        <v>8</v>
      </c>
      <c r="J7" s="372">
        <v>0</v>
      </c>
      <c r="K7" s="726">
        <v>0</v>
      </c>
      <c r="L7" s="734">
        <v>0</v>
      </c>
    </row>
    <row r="8" spans="1:20" ht="24.95" customHeight="1" x14ac:dyDescent="0.3">
      <c r="A8" s="398" t="s">
        <v>306</v>
      </c>
      <c r="B8" s="422">
        <v>0</v>
      </c>
      <c r="C8" s="726">
        <v>0</v>
      </c>
      <c r="D8" s="734">
        <v>0</v>
      </c>
      <c r="E8" s="372">
        <v>0</v>
      </c>
      <c r="F8" s="726">
        <v>0</v>
      </c>
      <c r="G8" s="734">
        <v>0</v>
      </c>
      <c r="I8" s="398" t="s">
        <v>306</v>
      </c>
      <c r="J8" s="372">
        <v>0</v>
      </c>
      <c r="K8" s="726">
        <v>0</v>
      </c>
      <c r="L8" s="734">
        <v>0</v>
      </c>
    </row>
    <row r="9" spans="1:20" ht="24.95" customHeight="1" x14ac:dyDescent="0.3">
      <c r="A9" s="372"/>
      <c r="B9" s="422"/>
      <c r="C9" s="726"/>
      <c r="D9" s="734"/>
      <c r="E9" s="372"/>
      <c r="F9" s="726"/>
      <c r="G9" s="734"/>
      <c r="I9" s="372"/>
      <c r="J9" s="372"/>
      <c r="K9" s="726"/>
      <c r="L9" s="734"/>
    </row>
    <row r="10" spans="1:20" s="415" customFormat="1" ht="24.95" customHeight="1" x14ac:dyDescent="0.3">
      <c r="A10" s="526" t="s">
        <v>9</v>
      </c>
      <c r="B10" s="423">
        <v>0</v>
      </c>
      <c r="C10" s="727">
        <v>0</v>
      </c>
      <c r="D10" s="735">
        <v>0</v>
      </c>
      <c r="E10" s="375">
        <v>0</v>
      </c>
      <c r="F10" s="727">
        <v>0</v>
      </c>
      <c r="G10" s="735">
        <v>0</v>
      </c>
      <c r="I10" s="526" t="s">
        <v>9</v>
      </c>
      <c r="J10" s="375">
        <v>0</v>
      </c>
      <c r="K10" s="727">
        <v>0</v>
      </c>
      <c r="L10" s="735">
        <v>0</v>
      </c>
    </row>
    <row r="11" spans="1:20" ht="24.95" customHeight="1" x14ac:dyDescent="0.3">
      <c r="A11" s="372" t="s">
        <v>308</v>
      </c>
      <c r="B11" s="422">
        <v>0</v>
      </c>
      <c r="C11" s="726">
        <v>0</v>
      </c>
      <c r="D11" s="734">
        <v>0</v>
      </c>
      <c r="E11" s="372">
        <v>0</v>
      </c>
      <c r="F11" s="726">
        <v>0</v>
      </c>
      <c r="G11" s="734">
        <v>0</v>
      </c>
      <c r="I11" s="372" t="s">
        <v>308</v>
      </c>
      <c r="J11" s="372">
        <v>0</v>
      </c>
      <c r="K11" s="726">
        <v>0</v>
      </c>
      <c r="L11" s="734">
        <v>0</v>
      </c>
    </row>
    <row r="12" spans="1:20" ht="24.95" customHeight="1" x14ac:dyDescent="0.3">
      <c r="A12" s="372" t="s">
        <v>309</v>
      </c>
      <c r="B12" s="422">
        <v>0</v>
      </c>
      <c r="C12" s="726">
        <v>0</v>
      </c>
      <c r="D12" s="734">
        <v>0</v>
      </c>
      <c r="E12" s="372">
        <v>0</v>
      </c>
      <c r="F12" s="726">
        <v>0</v>
      </c>
      <c r="G12" s="734">
        <v>0</v>
      </c>
      <c r="I12" s="372" t="s">
        <v>309</v>
      </c>
      <c r="J12" s="372">
        <v>0</v>
      </c>
      <c r="K12" s="726">
        <v>0</v>
      </c>
      <c r="L12" s="734">
        <v>0</v>
      </c>
    </row>
    <row r="13" spans="1:20" ht="24.95" customHeight="1" x14ac:dyDescent="0.3">
      <c r="A13" s="372" t="s">
        <v>310</v>
      </c>
      <c r="B13" s="422">
        <v>0</v>
      </c>
      <c r="C13" s="726">
        <v>0</v>
      </c>
      <c r="D13" s="734">
        <v>0</v>
      </c>
      <c r="E13" s="372">
        <v>0</v>
      </c>
      <c r="F13" s="726">
        <v>0</v>
      </c>
      <c r="G13" s="734">
        <v>0</v>
      </c>
      <c r="I13" s="372" t="s">
        <v>310</v>
      </c>
      <c r="J13" s="372">
        <v>0</v>
      </c>
      <c r="K13" s="726">
        <v>0</v>
      </c>
      <c r="L13" s="734">
        <v>0</v>
      </c>
    </row>
    <row r="14" spans="1:20" ht="24.95" customHeight="1" x14ac:dyDescent="0.3">
      <c r="A14" s="372" t="s">
        <v>311</v>
      </c>
      <c r="B14" s="422">
        <v>0</v>
      </c>
      <c r="C14" s="726">
        <v>0</v>
      </c>
      <c r="D14" s="734">
        <v>0</v>
      </c>
      <c r="E14" s="372">
        <v>0</v>
      </c>
      <c r="F14" s="726">
        <v>0</v>
      </c>
      <c r="G14" s="734">
        <v>0</v>
      </c>
      <c r="I14" s="372" t="s">
        <v>311</v>
      </c>
      <c r="J14" s="372">
        <v>0</v>
      </c>
      <c r="K14" s="726">
        <v>0</v>
      </c>
      <c r="L14" s="734">
        <v>0</v>
      </c>
    </row>
    <row r="15" spans="1:20" ht="24.95" customHeight="1" x14ac:dyDescent="0.3">
      <c r="A15" s="372" t="s">
        <v>312</v>
      </c>
      <c r="B15" s="422">
        <v>0</v>
      </c>
      <c r="C15" s="726">
        <v>0</v>
      </c>
      <c r="D15" s="734">
        <v>0</v>
      </c>
      <c r="E15" s="372">
        <v>0</v>
      </c>
      <c r="F15" s="726">
        <v>0</v>
      </c>
      <c r="G15" s="734">
        <v>0</v>
      </c>
      <c r="I15" s="372" t="s">
        <v>312</v>
      </c>
      <c r="J15" s="372">
        <v>0</v>
      </c>
      <c r="K15" s="726">
        <v>0</v>
      </c>
      <c r="L15" s="734">
        <v>0</v>
      </c>
    </row>
    <row r="16" spans="1:20" ht="24.95" customHeight="1" x14ac:dyDescent="0.3">
      <c r="A16" s="372" t="s">
        <v>313</v>
      </c>
      <c r="B16" s="422">
        <v>0</v>
      </c>
      <c r="C16" s="726">
        <v>0</v>
      </c>
      <c r="D16" s="734">
        <v>0</v>
      </c>
      <c r="E16" s="372">
        <v>0</v>
      </c>
      <c r="F16" s="726">
        <v>0</v>
      </c>
      <c r="G16" s="734">
        <v>0</v>
      </c>
      <c r="I16" s="372" t="s">
        <v>313</v>
      </c>
      <c r="J16" s="372">
        <v>0</v>
      </c>
      <c r="K16" s="726">
        <v>0</v>
      </c>
      <c r="L16" s="734">
        <v>0</v>
      </c>
    </row>
    <row r="17" spans="1:12" ht="24.95" customHeight="1" x14ac:dyDescent="0.3">
      <c r="A17" s="372" t="s">
        <v>314</v>
      </c>
      <c r="B17" s="422">
        <v>0</v>
      </c>
      <c r="C17" s="726">
        <v>0</v>
      </c>
      <c r="D17" s="734">
        <v>0</v>
      </c>
      <c r="E17" s="372">
        <v>0</v>
      </c>
      <c r="F17" s="726">
        <v>0</v>
      </c>
      <c r="G17" s="734">
        <v>0</v>
      </c>
      <c r="I17" s="372" t="s">
        <v>314</v>
      </c>
      <c r="J17" s="372">
        <v>0</v>
      </c>
      <c r="K17" s="726">
        <v>0</v>
      </c>
      <c r="L17" s="734">
        <v>0</v>
      </c>
    </row>
    <row r="18" spans="1:12" ht="24.95" customHeight="1" x14ac:dyDescent="0.3">
      <c r="A18" s="372" t="s">
        <v>315</v>
      </c>
      <c r="B18" s="422">
        <v>0</v>
      </c>
      <c r="C18" s="726">
        <v>0</v>
      </c>
      <c r="D18" s="734">
        <v>0</v>
      </c>
      <c r="E18" s="372">
        <v>0</v>
      </c>
      <c r="F18" s="726">
        <v>0</v>
      </c>
      <c r="G18" s="734">
        <v>0</v>
      </c>
      <c r="I18" s="372" t="s">
        <v>315</v>
      </c>
      <c r="J18" s="372">
        <v>0</v>
      </c>
      <c r="K18" s="726">
        <v>0</v>
      </c>
      <c r="L18" s="734">
        <v>0</v>
      </c>
    </row>
    <row r="19" spans="1:12" ht="24.95" customHeight="1" x14ac:dyDescent="0.3">
      <c r="A19" s="372" t="s">
        <v>390</v>
      </c>
      <c r="B19" s="422">
        <v>0</v>
      </c>
      <c r="C19" s="726">
        <v>0</v>
      </c>
      <c r="D19" s="734">
        <v>0</v>
      </c>
      <c r="E19" s="372">
        <v>0</v>
      </c>
      <c r="F19" s="726">
        <v>0</v>
      </c>
      <c r="G19" s="734">
        <v>0</v>
      </c>
      <c r="I19" s="372" t="s">
        <v>390</v>
      </c>
      <c r="J19" s="372"/>
      <c r="K19" s="726"/>
      <c r="L19" s="734"/>
    </row>
    <row r="20" spans="1:12" s="415" customFormat="1" ht="24.95" customHeight="1" x14ac:dyDescent="0.3">
      <c r="A20" s="526" t="s">
        <v>12</v>
      </c>
      <c r="B20" s="423">
        <v>0</v>
      </c>
      <c r="C20" s="727">
        <v>0</v>
      </c>
      <c r="D20" s="735">
        <v>0</v>
      </c>
      <c r="E20" s="375">
        <v>0</v>
      </c>
      <c r="F20" s="727">
        <v>0</v>
      </c>
      <c r="G20" s="735">
        <v>0</v>
      </c>
      <c r="I20" s="526" t="s">
        <v>12</v>
      </c>
      <c r="J20" s="375">
        <v>0</v>
      </c>
      <c r="K20" s="727">
        <v>0</v>
      </c>
      <c r="L20" s="735">
        <v>0</v>
      </c>
    </row>
    <row r="21" spans="1:12" ht="24.95" customHeight="1" x14ac:dyDescent="0.3">
      <c r="A21" s="372" t="s">
        <v>391</v>
      </c>
      <c r="B21" s="422">
        <v>0</v>
      </c>
      <c r="C21" s="726">
        <v>0</v>
      </c>
      <c r="D21" s="734">
        <v>0</v>
      </c>
      <c r="E21" s="372">
        <v>0</v>
      </c>
      <c r="F21" s="726">
        <v>0</v>
      </c>
      <c r="G21" s="734">
        <v>0</v>
      </c>
      <c r="I21" s="372" t="s">
        <v>391</v>
      </c>
      <c r="J21" s="372">
        <v>0</v>
      </c>
      <c r="K21" s="726">
        <v>0</v>
      </c>
      <c r="L21" s="734">
        <v>0</v>
      </c>
    </row>
    <row r="22" spans="1:12" ht="24.95" customHeight="1" x14ac:dyDescent="0.3">
      <c r="A22" s="372" t="s">
        <v>392</v>
      </c>
      <c r="B22" s="422">
        <v>0</v>
      </c>
      <c r="C22" s="726">
        <v>0</v>
      </c>
      <c r="D22" s="734">
        <v>0</v>
      </c>
      <c r="E22" s="372">
        <v>0</v>
      </c>
      <c r="F22" s="726">
        <v>0</v>
      </c>
      <c r="G22" s="734">
        <v>0</v>
      </c>
      <c r="I22" s="372" t="s">
        <v>392</v>
      </c>
      <c r="J22" s="372">
        <v>0</v>
      </c>
      <c r="K22" s="726">
        <v>0</v>
      </c>
      <c r="L22" s="734">
        <v>0</v>
      </c>
    </row>
    <row r="23" spans="1:12" ht="24.95" customHeight="1" x14ac:dyDescent="0.3">
      <c r="A23" s="372" t="s">
        <v>393</v>
      </c>
      <c r="B23" s="422">
        <v>0</v>
      </c>
      <c r="C23" s="726">
        <v>0</v>
      </c>
      <c r="D23" s="734">
        <v>0</v>
      </c>
      <c r="E23" s="372">
        <v>0</v>
      </c>
      <c r="F23" s="726">
        <v>0</v>
      </c>
      <c r="G23" s="734">
        <v>0</v>
      </c>
      <c r="I23" s="372" t="s">
        <v>393</v>
      </c>
      <c r="J23" s="372">
        <v>0</v>
      </c>
      <c r="K23" s="726">
        <v>0</v>
      </c>
      <c r="L23" s="734">
        <v>0</v>
      </c>
    </row>
    <row r="24" spans="1:12" ht="24.95" customHeight="1" x14ac:dyDescent="0.3">
      <c r="A24" s="372" t="s">
        <v>394</v>
      </c>
      <c r="B24" s="422">
        <v>0</v>
      </c>
      <c r="C24" s="726">
        <v>0</v>
      </c>
      <c r="D24" s="734">
        <v>0</v>
      </c>
      <c r="E24" s="372">
        <v>0</v>
      </c>
      <c r="F24" s="726">
        <v>0</v>
      </c>
      <c r="G24" s="734">
        <v>0</v>
      </c>
      <c r="I24" s="372" t="s">
        <v>394</v>
      </c>
      <c r="J24" s="372">
        <v>0</v>
      </c>
      <c r="K24" s="726">
        <v>0</v>
      </c>
      <c r="L24" s="734">
        <v>0</v>
      </c>
    </row>
    <row r="25" spans="1:12" ht="24.95" customHeight="1" x14ac:dyDescent="0.3">
      <c r="A25" s="413"/>
      <c r="B25" s="424"/>
      <c r="C25" s="728"/>
      <c r="D25" s="736"/>
      <c r="E25" s="377"/>
      <c r="F25" s="728"/>
      <c r="G25" s="736"/>
      <c r="I25" s="377"/>
      <c r="J25" s="377"/>
      <c r="K25" s="728"/>
      <c r="L25" s="736"/>
    </row>
    <row r="26" spans="1:12" x14ac:dyDescent="0.3">
      <c r="K26" s="339"/>
      <c r="L26" s="339"/>
    </row>
    <row r="27" spans="1:12" x14ac:dyDescent="0.3">
      <c r="K27" s="339"/>
      <c r="L27" s="339"/>
    </row>
    <row r="28" spans="1:12" x14ac:dyDescent="0.3">
      <c r="K28" s="339"/>
      <c r="L28" s="339"/>
    </row>
    <row r="29" spans="1:12" x14ac:dyDescent="0.3">
      <c r="K29" s="339"/>
      <c r="L29" s="339"/>
    </row>
    <row r="30" spans="1:12" x14ac:dyDescent="0.3">
      <c r="K30" s="339"/>
      <c r="L30" s="339"/>
    </row>
    <row r="31" spans="1:12" x14ac:dyDescent="0.3">
      <c r="K31" s="339"/>
      <c r="L31" s="339"/>
    </row>
    <row r="32" spans="1:12" x14ac:dyDescent="0.3">
      <c r="K32" s="339"/>
      <c r="L32" s="339"/>
    </row>
    <row r="33" spans="1:12" x14ac:dyDescent="0.3">
      <c r="K33" s="339"/>
      <c r="L33" s="339"/>
    </row>
    <row r="34" spans="1:12" x14ac:dyDescent="0.3">
      <c r="K34" s="339"/>
      <c r="L34" s="339"/>
    </row>
    <row r="35" spans="1:12" x14ac:dyDescent="0.3">
      <c r="K35" s="339"/>
      <c r="L35" s="339"/>
    </row>
    <row r="36" spans="1:12" x14ac:dyDescent="0.3">
      <c r="K36" s="339"/>
      <c r="L36" s="339"/>
    </row>
    <row r="37" spans="1:12" x14ac:dyDescent="0.3">
      <c r="A37" s="3513" t="s">
        <v>0</v>
      </c>
      <c r="B37" s="3519" t="s">
        <v>1</v>
      </c>
      <c r="C37" s="3519"/>
      <c r="D37" s="3519"/>
      <c r="E37" s="3520" t="s">
        <v>3</v>
      </c>
      <c r="F37" s="3520"/>
      <c r="G37" s="3520"/>
      <c r="K37" s="339"/>
      <c r="L37" s="339"/>
    </row>
    <row r="38" spans="1:12" x14ac:dyDescent="0.3">
      <c r="A38" s="3514"/>
      <c r="B38" s="418" t="s">
        <v>28</v>
      </c>
      <c r="C38" s="723" t="s">
        <v>34</v>
      </c>
      <c r="D38" s="731" t="s">
        <v>62</v>
      </c>
      <c r="E38" s="380" t="s">
        <v>28</v>
      </c>
      <c r="F38" s="723" t="s">
        <v>34</v>
      </c>
      <c r="G38" s="731" t="s">
        <v>62</v>
      </c>
      <c r="K38" s="339"/>
      <c r="L38" s="339"/>
    </row>
    <row r="39" spans="1:12" ht="19.5" thickBot="1" x14ac:dyDescent="0.35">
      <c r="A39" s="419" t="s">
        <v>28</v>
      </c>
      <c r="B39" s="420">
        <v>0</v>
      </c>
      <c r="C39" s="724">
        <v>0</v>
      </c>
      <c r="D39" s="737">
        <v>0</v>
      </c>
      <c r="E39" s="367">
        <v>0</v>
      </c>
      <c r="F39" s="724">
        <v>0</v>
      </c>
      <c r="G39" s="732">
        <v>0</v>
      </c>
      <c r="K39" s="339"/>
      <c r="L39" s="339"/>
    </row>
    <row r="40" spans="1:12" ht="19.5" thickTop="1" x14ac:dyDescent="0.3">
      <c r="A40" s="369" t="s">
        <v>7</v>
      </c>
      <c r="B40" s="421">
        <v>0</v>
      </c>
      <c r="C40" s="725">
        <v>0</v>
      </c>
      <c r="D40" s="733">
        <v>0</v>
      </c>
      <c r="E40" s="370">
        <v>0</v>
      </c>
      <c r="F40" s="725">
        <v>0</v>
      </c>
      <c r="G40" s="733">
        <v>0</v>
      </c>
      <c r="K40" s="339"/>
      <c r="L40" s="339"/>
    </row>
    <row r="41" spans="1:12" x14ac:dyDescent="0.3">
      <c r="A41" s="398" t="s">
        <v>8</v>
      </c>
      <c r="B41" s="422">
        <v>0</v>
      </c>
      <c r="C41" s="726"/>
      <c r="D41" s="734"/>
      <c r="E41" s="372">
        <v>0</v>
      </c>
      <c r="F41" s="726"/>
      <c r="G41" s="734"/>
      <c r="K41" s="339"/>
      <c r="L41" s="339"/>
    </row>
    <row r="42" spans="1:12" x14ac:dyDescent="0.3">
      <c r="A42" s="398" t="s">
        <v>306</v>
      </c>
      <c r="B42" s="422">
        <v>0</v>
      </c>
      <c r="C42" s="726"/>
      <c r="D42" s="734"/>
      <c r="E42" s="372">
        <v>0</v>
      </c>
      <c r="F42" s="726"/>
      <c r="G42" s="734"/>
      <c r="K42" s="339"/>
      <c r="L42" s="339"/>
    </row>
    <row r="43" spans="1:12" x14ac:dyDescent="0.3">
      <c r="A43" s="372"/>
      <c r="B43" s="422"/>
      <c r="C43" s="726"/>
      <c r="D43" s="734"/>
      <c r="E43" s="372"/>
      <c r="F43" s="726"/>
      <c r="G43" s="734"/>
      <c r="K43" s="339"/>
      <c r="L43" s="339"/>
    </row>
    <row r="44" spans="1:12" x14ac:dyDescent="0.3">
      <c r="A44" s="526" t="s">
        <v>9</v>
      </c>
      <c r="B44" s="423">
        <v>0</v>
      </c>
      <c r="C44" s="727">
        <v>0</v>
      </c>
      <c r="D44" s="735">
        <v>0</v>
      </c>
      <c r="E44" s="375">
        <v>0</v>
      </c>
      <c r="F44" s="727">
        <v>0</v>
      </c>
      <c r="G44" s="735">
        <v>0</v>
      </c>
      <c r="K44" s="339"/>
      <c r="L44" s="339"/>
    </row>
    <row r="45" spans="1:12" x14ac:dyDescent="0.3">
      <c r="A45" s="372" t="s">
        <v>308</v>
      </c>
      <c r="B45" s="422">
        <v>0</v>
      </c>
      <c r="C45" s="726"/>
      <c r="D45" s="734"/>
      <c r="E45" s="372">
        <v>0</v>
      </c>
      <c r="F45" s="726"/>
      <c r="G45" s="734"/>
      <c r="K45" s="339"/>
      <c r="L45" s="339"/>
    </row>
    <row r="46" spans="1:12" x14ac:dyDescent="0.3">
      <c r="A46" s="372" t="s">
        <v>309</v>
      </c>
      <c r="B46" s="422">
        <v>0</v>
      </c>
      <c r="C46" s="726"/>
      <c r="D46" s="734"/>
      <c r="E46" s="372">
        <v>0</v>
      </c>
      <c r="F46" s="726"/>
      <c r="G46" s="734"/>
      <c r="K46" s="339"/>
      <c r="L46" s="339"/>
    </row>
    <row r="47" spans="1:12" x14ac:dyDescent="0.3">
      <c r="A47" s="372" t="s">
        <v>310</v>
      </c>
      <c r="B47" s="422">
        <v>0</v>
      </c>
      <c r="C47" s="726"/>
      <c r="D47" s="734"/>
      <c r="E47" s="372">
        <v>0</v>
      </c>
      <c r="F47" s="726"/>
      <c r="G47" s="734"/>
      <c r="K47" s="339"/>
      <c r="L47" s="339"/>
    </row>
    <row r="48" spans="1:12" x14ac:dyDescent="0.3">
      <c r="A48" s="372" t="s">
        <v>311</v>
      </c>
      <c r="B48" s="422">
        <v>0</v>
      </c>
      <c r="C48" s="726"/>
      <c r="D48" s="734"/>
      <c r="E48" s="372">
        <v>0</v>
      </c>
      <c r="F48" s="726"/>
      <c r="G48" s="734"/>
      <c r="K48" s="339"/>
      <c r="L48" s="339"/>
    </row>
    <row r="49" spans="1:12" x14ac:dyDescent="0.3">
      <c r="A49" s="372" t="s">
        <v>312</v>
      </c>
      <c r="B49" s="422">
        <v>0</v>
      </c>
      <c r="C49" s="726"/>
      <c r="D49" s="734"/>
      <c r="E49" s="372">
        <v>0</v>
      </c>
      <c r="F49" s="726"/>
      <c r="G49" s="734"/>
      <c r="K49" s="339"/>
      <c r="L49" s="339"/>
    </row>
    <row r="50" spans="1:12" x14ac:dyDescent="0.3">
      <c r="A50" s="372" t="s">
        <v>313</v>
      </c>
      <c r="B50" s="422">
        <v>0</v>
      </c>
      <c r="C50" s="726"/>
      <c r="D50" s="734"/>
      <c r="E50" s="372">
        <v>0</v>
      </c>
      <c r="F50" s="726"/>
      <c r="G50" s="734"/>
      <c r="K50" s="339"/>
      <c r="L50" s="339"/>
    </row>
    <row r="51" spans="1:12" x14ac:dyDescent="0.3">
      <c r="A51" s="372" t="s">
        <v>314</v>
      </c>
      <c r="B51" s="422"/>
      <c r="C51" s="726"/>
      <c r="D51" s="734"/>
      <c r="E51" s="372"/>
      <c r="F51" s="726"/>
      <c r="G51" s="734"/>
      <c r="K51" s="339"/>
      <c r="L51" s="339"/>
    </row>
    <row r="52" spans="1:12" x14ac:dyDescent="0.3">
      <c r="A52" s="372" t="s">
        <v>315</v>
      </c>
      <c r="B52" s="422"/>
      <c r="C52" s="726"/>
      <c r="D52" s="734"/>
      <c r="E52" s="372"/>
      <c r="F52" s="726"/>
      <c r="G52" s="734"/>
      <c r="K52" s="339"/>
      <c r="L52" s="339"/>
    </row>
    <row r="53" spans="1:12" x14ac:dyDescent="0.3">
      <c r="A53" s="372" t="s">
        <v>390</v>
      </c>
      <c r="B53" s="422"/>
      <c r="C53" s="726"/>
      <c r="D53" s="734"/>
      <c r="E53" s="372"/>
      <c r="F53" s="726"/>
      <c r="G53" s="734"/>
      <c r="K53" s="339"/>
      <c r="L53" s="339"/>
    </row>
    <row r="54" spans="1:12" x14ac:dyDescent="0.3">
      <c r="A54" s="526" t="s">
        <v>12</v>
      </c>
      <c r="B54" s="423">
        <v>0</v>
      </c>
      <c r="C54" s="727">
        <v>0</v>
      </c>
      <c r="D54" s="735">
        <v>0</v>
      </c>
      <c r="E54" s="375">
        <v>0</v>
      </c>
      <c r="F54" s="727">
        <v>0</v>
      </c>
      <c r="G54" s="735">
        <v>0</v>
      </c>
      <c r="K54" s="339"/>
      <c r="L54" s="339"/>
    </row>
    <row r="55" spans="1:12" x14ac:dyDescent="0.3">
      <c r="A55" s="372" t="s">
        <v>391</v>
      </c>
      <c r="B55" s="422">
        <v>0</v>
      </c>
      <c r="C55" s="726"/>
      <c r="D55" s="734"/>
      <c r="E55" s="372">
        <v>0</v>
      </c>
      <c r="F55" s="726"/>
      <c r="G55" s="734"/>
      <c r="K55" s="339"/>
      <c r="L55" s="339"/>
    </row>
    <row r="56" spans="1:12" x14ac:dyDescent="0.3">
      <c r="A56" s="372" t="s">
        <v>392</v>
      </c>
      <c r="B56" s="422">
        <v>0</v>
      </c>
      <c r="C56" s="726"/>
      <c r="D56" s="734"/>
      <c r="E56" s="372">
        <v>0</v>
      </c>
      <c r="F56" s="726"/>
      <c r="G56" s="734"/>
      <c r="K56" s="339"/>
      <c r="L56" s="339"/>
    </row>
    <row r="57" spans="1:12" x14ac:dyDescent="0.3">
      <c r="A57" s="372" t="s">
        <v>393</v>
      </c>
      <c r="B57" s="422">
        <v>0</v>
      </c>
      <c r="C57" s="726"/>
      <c r="D57" s="734"/>
      <c r="E57" s="372">
        <v>0</v>
      </c>
      <c r="F57" s="726"/>
      <c r="G57" s="734"/>
      <c r="K57" s="339"/>
      <c r="L57" s="339"/>
    </row>
    <row r="58" spans="1:12" x14ac:dyDescent="0.3">
      <c r="A58" s="372" t="s">
        <v>394</v>
      </c>
      <c r="B58" s="422">
        <v>0</v>
      </c>
      <c r="C58" s="726"/>
      <c r="D58" s="734"/>
      <c r="E58" s="372">
        <v>0</v>
      </c>
      <c r="F58" s="726"/>
      <c r="G58" s="734"/>
      <c r="K58" s="339"/>
      <c r="L58" s="339"/>
    </row>
    <row r="59" spans="1:12" x14ac:dyDescent="0.3">
      <c r="A59" s="413"/>
      <c r="B59" s="424"/>
      <c r="C59" s="728"/>
      <c r="D59" s="736"/>
      <c r="E59" s="377"/>
      <c r="F59" s="728"/>
      <c r="G59" s="736"/>
      <c r="K59" s="339"/>
      <c r="L59" s="339"/>
    </row>
    <row r="60" spans="1:12" x14ac:dyDescent="0.3">
      <c r="K60" s="339"/>
      <c r="L60" s="339"/>
    </row>
    <row r="61" spans="1:12" x14ac:dyDescent="0.3">
      <c r="K61" s="339"/>
      <c r="L61" s="339"/>
    </row>
    <row r="62" spans="1:12" x14ac:dyDescent="0.3">
      <c r="K62" s="339"/>
      <c r="L62" s="339"/>
    </row>
    <row r="63" spans="1:12" x14ac:dyDescent="0.3">
      <c r="K63" s="339"/>
      <c r="L63" s="339"/>
    </row>
    <row r="64" spans="1:12" x14ac:dyDescent="0.3">
      <c r="K64" s="339"/>
      <c r="L64" s="339"/>
    </row>
    <row r="65" spans="1:12" x14ac:dyDescent="0.3">
      <c r="K65" s="339"/>
      <c r="L65" s="339"/>
    </row>
    <row r="66" spans="1:12" x14ac:dyDescent="0.3">
      <c r="K66" s="339"/>
      <c r="L66" s="339"/>
    </row>
    <row r="67" spans="1:12" x14ac:dyDescent="0.3">
      <c r="K67" s="339"/>
      <c r="L67" s="339"/>
    </row>
    <row r="68" spans="1:12" x14ac:dyDescent="0.3">
      <c r="K68" s="339"/>
      <c r="L68" s="339"/>
    </row>
    <row r="69" spans="1:12" x14ac:dyDescent="0.3">
      <c r="K69" s="339"/>
      <c r="L69" s="339"/>
    </row>
    <row r="70" spans="1:12" x14ac:dyDescent="0.3">
      <c r="K70" s="339"/>
      <c r="L70" s="339"/>
    </row>
    <row r="71" spans="1:12" x14ac:dyDescent="0.3">
      <c r="K71" s="339"/>
      <c r="L71" s="339"/>
    </row>
    <row r="72" spans="1:12" x14ac:dyDescent="0.3">
      <c r="K72" s="339"/>
      <c r="L72" s="339"/>
    </row>
    <row r="73" spans="1:12" x14ac:dyDescent="0.3">
      <c r="K73" s="339"/>
      <c r="L73" s="339"/>
    </row>
    <row r="74" spans="1:12" x14ac:dyDescent="0.3">
      <c r="A74" s="3513" t="s">
        <v>0</v>
      </c>
      <c r="B74" s="3519" t="s">
        <v>24</v>
      </c>
      <c r="C74" s="3519"/>
      <c r="D74" s="3519"/>
      <c r="E74" s="3520" t="s">
        <v>23</v>
      </c>
      <c r="F74" s="3520"/>
      <c r="G74" s="3520"/>
      <c r="K74" s="339"/>
      <c r="L74" s="339"/>
    </row>
    <row r="75" spans="1:12" x14ac:dyDescent="0.3">
      <c r="A75" s="3514"/>
      <c r="B75" s="418" t="s">
        <v>28</v>
      </c>
      <c r="C75" s="723" t="s">
        <v>34</v>
      </c>
      <c r="D75" s="731" t="s">
        <v>62</v>
      </c>
      <c r="E75" s="380" t="s">
        <v>28</v>
      </c>
      <c r="F75" s="723" t="s">
        <v>34</v>
      </c>
      <c r="G75" s="731" t="s">
        <v>62</v>
      </c>
      <c r="K75" s="339"/>
      <c r="L75" s="339"/>
    </row>
    <row r="76" spans="1:12" ht="19.5" thickBot="1" x14ac:dyDescent="0.35">
      <c r="A76" s="419" t="s">
        <v>28</v>
      </c>
      <c r="B76" s="420">
        <v>0</v>
      </c>
      <c r="C76" s="724">
        <v>0</v>
      </c>
      <c r="D76" s="732">
        <v>0</v>
      </c>
      <c r="E76" s="367">
        <v>0</v>
      </c>
      <c r="F76" s="724">
        <v>0</v>
      </c>
      <c r="G76" s="732">
        <v>0</v>
      </c>
      <c r="K76" s="339"/>
      <c r="L76" s="339"/>
    </row>
    <row r="77" spans="1:12" ht="19.5" thickTop="1" x14ac:dyDescent="0.3">
      <c r="A77" s="369" t="s">
        <v>7</v>
      </c>
      <c r="B77" s="421">
        <v>0</v>
      </c>
      <c r="C77" s="725">
        <v>0</v>
      </c>
      <c r="D77" s="733">
        <v>0</v>
      </c>
      <c r="E77" s="370">
        <v>0</v>
      </c>
      <c r="F77" s="725">
        <v>0</v>
      </c>
      <c r="G77" s="733">
        <v>0</v>
      </c>
      <c r="K77" s="339"/>
      <c r="L77" s="339"/>
    </row>
    <row r="78" spans="1:12" s="596" customFormat="1" x14ac:dyDescent="0.3">
      <c r="A78" s="744" t="s">
        <v>8</v>
      </c>
      <c r="B78" s="745">
        <v>0</v>
      </c>
      <c r="C78" s="743"/>
      <c r="D78" s="741"/>
      <c r="E78" s="373">
        <v>0</v>
      </c>
      <c r="F78" s="743">
        <v>0</v>
      </c>
      <c r="G78" s="741">
        <v>0</v>
      </c>
      <c r="I78" s="339"/>
      <c r="J78" s="339"/>
      <c r="K78" s="339"/>
      <c r="L78" s="339"/>
    </row>
    <row r="79" spans="1:12" x14ac:dyDescent="0.3">
      <c r="A79" s="398" t="s">
        <v>306</v>
      </c>
      <c r="B79" s="422">
        <v>0</v>
      </c>
      <c r="C79" s="726"/>
      <c r="D79" s="734"/>
      <c r="E79" s="372">
        <v>0</v>
      </c>
      <c r="F79" s="726">
        <v>0</v>
      </c>
      <c r="G79" s="734">
        <v>0</v>
      </c>
      <c r="K79" s="339"/>
      <c r="L79" s="339"/>
    </row>
    <row r="80" spans="1:12" x14ac:dyDescent="0.3">
      <c r="A80" s="372"/>
      <c r="B80" s="422"/>
      <c r="C80" s="726"/>
      <c r="D80" s="734"/>
      <c r="E80" s="372"/>
      <c r="F80" s="726"/>
      <c r="G80" s="734"/>
      <c r="K80" s="339"/>
      <c r="L80" s="339"/>
    </row>
    <row r="81" spans="1:12" x14ac:dyDescent="0.3">
      <c r="A81" s="526" t="s">
        <v>9</v>
      </c>
      <c r="B81" s="423">
        <v>0</v>
      </c>
      <c r="C81" s="727">
        <v>0</v>
      </c>
      <c r="D81" s="735">
        <v>0</v>
      </c>
      <c r="E81" s="375">
        <v>0</v>
      </c>
      <c r="F81" s="727">
        <v>0</v>
      </c>
      <c r="G81" s="735">
        <v>0</v>
      </c>
      <c r="K81" s="339"/>
      <c r="L81" s="339"/>
    </row>
    <row r="82" spans="1:12" x14ac:dyDescent="0.3">
      <c r="A82" s="372" t="s">
        <v>308</v>
      </c>
      <c r="B82" s="422">
        <v>0</v>
      </c>
      <c r="C82" s="726"/>
      <c r="D82" s="734"/>
      <c r="E82" s="372">
        <v>0</v>
      </c>
      <c r="F82" s="726">
        <v>0</v>
      </c>
      <c r="G82" s="734">
        <v>0</v>
      </c>
      <c r="K82" s="339"/>
      <c r="L82" s="339"/>
    </row>
    <row r="83" spans="1:12" x14ac:dyDescent="0.3">
      <c r="A83" s="372" t="s">
        <v>309</v>
      </c>
      <c r="B83" s="422">
        <v>0</v>
      </c>
      <c r="C83" s="726"/>
      <c r="D83" s="734"/>
      <c r="E83" s="372">
        <v>0</v>
      </c>
      <c r="F83" s="726">
        <v>0</v>
      </c>
      <c r="G83" s="734">
        <v>0</v>
      </c>
      <c r="K83" s="339"/>
      <c r="L83" s="339"/>
    </row>
    <row r="84" spans="1:12" x14ac:dyDescent="0.3">
      <c r="A84" s="372" t="s">
        <v>310</v>
      </c>
      <c r="B84" s="422">
        <v>0</v>
      </c>
      <c r="C84" s="726"/>
      <c r="D84" s="734"/>
      <c r="E84" s="372">
        <v>0</v>
      </c>
      <c r="F84" s="726">
        <v>0</v>
      </c>
      <c r="G84" s="734">
        <v>0</v>
      </c>
      <c r="K84" s="339"/>
      <c r="L84" s="339"/>
    </row>
    <row r="85" spans="1:12" x14ac:dyDescent="0.3">
      <c r="A85" s="372" t="s">
        <v>311</v>
      </c>
      <c r="B85" s="422">
        <v>0</v>
      </c>
      <c r="C85" s="726"/>
      <c r="D85" s="734"/>
      <c r="E85" s="372">
        <v>0</v>
      </c>
      <c r="F85" s="726">
        <v>0</v>
      </c>
      <c r="G85" s="734">
        <v>0</v>
      </c>
      <c r="K85" s="339"/>
      <c r="L85" s="339"/>
    </row>
    <row r="86" spans="1:12" x14ac:dyDescent="0.3">
      <c r="A86" s="372" t="s">
        <v>312</v>
      </c>
      <c r="B86" s="422">
        <v>0</v>
      </c>
      <c r="C86" s="726"/>
      <c r="D86" s="734"/>
      <c r="E86" s="372">
        <v>0</v>
      </c>
      <c r="F86" s="726">
        <v>0</v>
      </c>
      <c r="G86" s="734">
        <v>0</v>
      </c>
      <c r="K86" s="339"/>
      <c r="L86" s="339"/>
    </row>
    <row r="87" spans="1:12" x14ac:dyDescent="0.3">
      <c r="A87" s="372" t="s">
        <v>313</v>
      </c>
      <c r="B87" s="422">
        <v>0</v>
      </c>
      <c r="C87" s="726"/>
      <c r="D87" s="734"/>
      <c r="E87" s="372">
        <v>0</v>
      </c>
      <c r="F87" s="726">
        <v>0</v>
      </c>
      <c r="G87" s="734">
        <v>0</v>
      </c>
      <c r="K87" s="339"/>
      <c r="L87" s="339"/>
    </row>
    <row r="88" spans="1:12" x14ac:dyDescent="0.3">
      <c r="A88" s="372" t="s">
        <v>314</v>
      </c>
      <c r="B88" s="422"/>
      <c r="C88" s="726"/>
      <c r="D88" s="734"/>
      <c r="E88" s="372"/>
      <c r="F88" s="726">
        <v>0</v>
      </c>
      <c r="G88" s="734">
        <v>0</v>
      </c>
      <c r="K88" s="339"/>
      <c r="L88" s="339"/>
    </row>
    <row r="89" spans="1:12" x14ac:dyDescent="0.3">
      <c r="A89" s="372" t="s">
        <v>315</v>
      </c>
      <c r="B89" s="422"/>
      <c r="C89" s="726"/>
      <c r="D89" s="734"/>
      <c r="E89" s="372"/>
      <c r="F89" s="726">
        <v>0</v>
      </c>
      <c r="G89" s="734">
        <v>0</v>
      </c>
      <c r="K89" s="339"/>
      <c r="L89" s="339"/>
    </row>
    <row r="90" spans="1:12" x14ac:dyDescent="0.3">
      <c r="A90" s="372" t="s">
        <v>390</v>
      </c>
      <c r="B90" s="422"/>
      <c r="C90" s="726"/>
      <c r="D90" s="734"/>
      <c r="E90" s="372"/>
      <c r="F90" s="726">
        <v>0</v>
      </c>
      <c r="G90" s="734">
        <v>0</v>
      </c>
      <c r="K90" s="339"/>
      <c r="L90" s="339"/>
    </row>
    <row r="91" spans="1:12" x14ac:dyDescent="0.3">
      <c r="A91" s="526" t="s">
        <v>12</v>
      </c>
      <c r="B91" s="423">
        <v>0</v>
      </c>
      <c r="C91" s="727">
        <v>0</v>
      </c>
      <c r="D91" s="735">
        <v>0</v>
      </c>
      <c r="E91" s="375">
        <v>0</v>
      </c>
      <c r="F91" s="727">
        <v>0</v>
      </c>
      <c r="G91" s="735">
        <v>0</v>
      </c>
      <c r="K91" s="339"/>
      <c r="L91" s="339"/>
    </row>
    <row r="92" spans="1:12" s="339" customFormat="1" x14ac:dyDescent="0.3">
      <c r="A92" s="372" t="s">
        <v>391</v>
      </c>
      <c r="B92" s="372">
        <v>0</v>
      </c>
      <c r="C92" s="726"/>
      <c r="D92" s="734"/>
      <c r="E92" s="372">
        <v>0</v>
      </c>
      <c r="F92" s="726">
        <v>0</v>
      </c>
      <c r="G92" s="734">
        <v>0</v>
      </c>
    </row>
    <row r="93" spans="1:12" s="339" customFormat="1" x14ac:dyDescent="0.3">
      <c r="A93" s="372" t="s">
        <v>392</v>
      </c>
      <c r="B93" s="372">
        <v>0</v>
      </c>
      <c r="C93" s="726"/>
      <c r="D93" s="734"/>
      <c r="E93" s="372">
        <v>0</v>
      </c>
      <c r="F93" s="726">
        <v>0</v>
      </c>
      <c r="G93" s="734">
        <v>0</v>
      </c>
    </row>
    <row r="94" spans="1:12" s="339" customFormat="1" x14ac:dyDescent="0.3">
      <c r="A94" s="372" t="s">
        <v>393</v>
      </c>
      <c r="B94" s="372">
        <v>0</v>
      </c>
      <c r="C94" s="726"/>
      <c r="D94" s="734"/>
      <c r="E94" s="372">
        <v>0</v>
      </c>
      <c r="F94" s="726">
        <v>0</v>
      </c>
      <c r="G94" s="734">
        <v>0</v>
      </c>
    </row>
    <row r="95" spans="1:12" s="339" customFormat="1" x14ac:dyDescent="0.3">
      <c r="A95" s="372" t="s">
        <v>394</v>
      </c>
      <c r="B95" s="372">
        <v>0</v>
      </c>
      <c r="C95" s="726"/>
      <c r="D95" s="734"/>
      <c r="E95" s="372">
        <v>0</v>
      </c>
      <c r="F95" s="726">
        <v>0</v>
      </c>
      <c r="G95" s="734">
        <v>0</v>
      </c>
    </row>
    <row r="96" spans="1:12" s="379" customFormat="1" x14ac:dyDescent="0.3">
      <c r="A96" s="373" t="s">
        <v>916</v>
      </c>
      <c r="B96" s="373">
        <v>0</v>
      </c>
      <c r="C96" s="743"/>
      <c r="D96" s="741"/>
      <c r="E96" s="373">
        <v>0</v>
      </c>
      <c r="F96" s="726"/>
      <c r="G96" s="741"/>
      <c r="I96" s="339"/>
      <c r="J96" s="339"/>
      <c r="K96" s="339"/>
      <c r="L96" s="339"/>
    </row>
    <row r="97" spans="1:12" s="379" customFormat="1" x14ac:dyDescent="0.3">
      <c r="A97" s="373" t="s">
        <v>508</v>
      </c>
      <c r="B97" s="373"/>
      <c r="C97" s="743"/>
      <c r="D97" s="741"/>
      <c r="E97" s="373">
        <v>0</v>
      </c>
      <c r="F97" s="743"/>
      <c r="G97" s="741"/>
      <c r="I97" s="339"/>
      <c r="J97" s="339"/>
      <c r="K97" s="339"/>
      <c r="L97" s="339"/>
    </row>
    <row r="98" spans="1:12" s="379" customFormat="1" x14ac:dyDescent="0.3">
      <c r="A98" s="373" t="s">
        <v>407</v>
      </c>
      <c r="B98" s="373"/>
      <c r="C98" s="743"/>
      <c r="D98" s="741"/>
      <c r="E98" s="373">
        <v>0</v>
      </c>
      <c r="F98" s="743"/>
      <c r="G98" s="741"/>
      <c r="I98" s="339"/>
      <c r="J98" s="339"/>
      <c r="K98" s="339"/>
      <c r="L98" s="339"/>
    </row>
    <row r="99" spans="1:12" s="379" customFormat="1" x14ac:dyDescent="0.3">
      <c r="A99" s="373" t="s">
        <v>408</v>
      </c>
      <c r="B99" s="373"/>
      <c r="C99" s="743"/>
      <c r="D99" s="741"/>
      <c r="E99" s="373">
        <v>0</v>
      </c>
      <c r="F99" s="743"/>
      <c r="G99" s="741"/>
      <c r="I99" s="339"/>
      <c r="J99" s="339"/>
      <c r="K99" s="339"/>
      <c r="L99" s="339"/>
    </row>
    <row r="100" spans="1:12" s="721" customFormat="1" x14ac:dyDescent="0.3">
      <c r="A100" s="378"/>
      <c r="B100" s="378"/>
      <c r="C100" s="746"/>
      <c r="D100" s="749"/>
      <c r="E100" s="378"/>
      <c r="F100" s="746"/>
      <c r="G100" s="749"/>
      <c r="I100" s="339"/>
      <c r="J100" s="339"/>
      <c r="K100" s="339"/>
      <c r="L100" s="339"/>
    </row>
    <row r="101" spans="1:12" s="339" customFormat="1" x14ac:dyDescent="0.3">
      <c r="C101" s="722"/>
      <c r="D101" s="730"/>
      <c r="F101" s="722"/>
      <c r="G101" s="730"/>
    </row>
    <row r="102" spans="1:12" s="339" customFormat="1" x14ac:dyDescent="0.3">
      <c r="C102" s="722"/>
      <c r="D102" s="730"/>
      <c r="F102" s="722"/>
      <c r="G102" s="730"/>
    </row>
    <row r="103" spans="1:12" x14ac:dyDescent="0.3">
      <c r="K103" s="339"/>
      <c r="L103" s="339"/>
    </row>
    <row r="104" spans="1:12" x14ac:dyDescent="0.3">
      <c r="K104" s="339"/>
      <c r="L104" s="339"/>
    </row>
    <row r="105" spans="1:12" x14ac:dyDescent="0.3">
      <c r="K105" s="339"/>
      <c r="L105" s="339"/>
    </row>
    <row r="106" spans="1:12" x14ac:dyDescent="0.3">
      <c r="K106" s="339"/>
      <c r="L106" s="339"/>
    </row>
    <row r="107" spans="1:12" x14ac:dyDescent="0.3">
      <c r="K107" s="339"/>
      <c r="L107" s="339"/>
    </row>
    <row r="108" spans="1:12" x14ac:dyDescent="0.3">
      <c r="K108" s="339"/>
      <c r="L108" s="339"/>
    </row>
    <row r="109" spans="1:12" x14ac:dyDescent="0.3">
      <c r="K109" s="339"/>
      <c r="L109" s="339"/>
    </row>
    <row r="110" spans="1:12" x14ac:dyDescent="0.3">
      <c r="K110" s="339"/>
      <c r="L110" s="339"/>
    </row>
    <row r="111" spans="1:12" x14ac:dyDescent="0.3">
      <c r="K111" s="339"/>
      <c r="L111" s="339"/>
    </row>
    <row r="112" spans="1:12" x14ac:dyDescent="0.3">
      <c r="K112" s="339"/>
      <c r="L112" s="339"/>
    </row>
    <row r="113" spans="1:12" x14ac:dyDescent="0.3">
      <c r="K113" s="339"/>
      <c r="L113" s="339"/>
    </row>
    <row r="114" spans="1:12" x14ac:dyDescent="0.3">
      <c r="K114" s="339"/>
      <c r="L114" s="339"/>
    </row>
    <row r="115" spans="1:12" x14ac:dyDescent="0.3">
      <c r="A115" s="3513" t="s">
        <v>0</v>
      </c>
      <c r="B115" s="3519" t="s">
        <v>4</v>
      </c>
      <c r="C115" s="3519"/>
      <c r="D115" s="3519"/>
      <c r="E115" s="3520" t="s">
        <v>20</v>
      </c>
      <c r="F115" s="3520"/>
      <c r="G115" s="3520"/>
      <c r="K115" s="339"/>
      <c r="L115" s="339"/>
    </row>
    <row r="116" spans="1:12" x14ac:dyDescent="0.3">
      <c r="A116" s="3514"/>
      <c r="B116" s="418" t="s">
        <v>28</v>
      </c>
      <c r="C116" s="723" t="s">
        <v>34</v>
      </c>
      <c r="D116" s="731" t="s">
        <v>62</v>
      </c>
      <c r="E116" s="380" t="s">
        <v>28</v>
      </c>
      <c r="F116" s="723" t="s">
        <v>34</v>
      </c>
      <c r="G116" s="731" t="s">
        <v>62</v>
      </c>
      <c r="K116" s="339"/>
      <c r="L116" s="339"/>
    </row>
    <row r="117" spans="1:12" ht="19.5" thickBot="1" x14ac:dyDescent="0.35">
      <c r="A117" s="419" t="s">
        <v>28</v>
      </c>
      <c r="B117" s="420">
        <v>0</v>
      </c>
      <c r="C117" s="724">
        <v>0</v>
      </c>
      <c r="D117" s="732">
        <v>0</v>
      </c>
      <c r="E117" s="367">
        <v>0</v>
      </c>
      <c r="F117" s="724">
        <v>0</v>
      </c>
      <c r="G117" s="732">
        <v>0</v>
      </c>
      <c r="K117" s="339"/>
      <c r="L117" s="339"/>
    </row>
    <row r="118" spans="1:12" ht="19.5" thickTop="1" x14ac:dyDescent="0.3">
      <c r="A118" s="369" t="s">
        <v>7</v>
      </c>
      <c r="B118" s="421">
        <v>0</v>
      </c>
      <c r="C118" s="725">
        <v>0</v>
      </c>
      <c r="D118" s="733">
        <v>0</v>
      </c>
      <c r="E118" s="370">
        <v>0</v>
      </c>
      <c r="F118" s="725">
        <v>0</v>
      </c>
      <c r="G118" s="733">
        <v>0</v>
      </c>
      <c r="K118" s="339"/>
      <c r="L118" s="339"/>
    </row>
    <row r="119" spans="1:12" x14ac:dyDescent="0.3">
      <c r="A119" s="398" t="s">
        <v>8</v>
      </c>
      <c r="B119" s="422">
        <v>0</v>
      </c>
      <c r="C119" s="726"/>
      <c r="D119" s="734"/>
      <c r="E119" s="372">
        <v>0</v>
      </c>
      <c r="F119" s="726"/>
      <c r="G119" s="734"/>
      <c r="K119" s="339"/>
      <c r="L119" s="339"/>
    </row>
    <row r="120" spans="1:12" x14ac:dyDescent="0.3">
      <c r="A120" s="398" t="s">
        <v>306</v>
      </c>
      <c r="B120" s="422">
        <v>0</v>
      </c>
      <c r="C120" s="726"/>
      <c r="D120" s="734"/>
      <c r="E120" s="372">
        <v>0</v>
      </c>
      <c r="F120" s="726"/>
      <c r="G120" s="734"/>
      <c r="K120" s="339"/>
      <c r="L120" s="339"/>
    </row>
    <row r="121" spans="1:12" x14ac:dyDescent="0.3">
      <c r="A121" s="372"/>
      <c r="B121" s="422">
        <v>0</v>
      </c>
      <c r="C121" s="726"/>
      <c r="D121" s="734"/>
      <c r="E121" s="372">
        <v>0</v>
      </c>
      <c r="F121" s="726"/>
      <c r="G121" s="734"/>
      <c r="K121" s="339"/>
      <c r="L121" s="339"/>
    </row>
    <row r="122" spans="1:12" x14ac:dyDescent="0.3">
      <c r="A122" s="526" t="s">
        <v>9</v>
      </c>
      <c r="B122" s="422"/>
      <c r="C122" s="726"/>
      <c r="D122" s="734"/>
      <c r="E122" s="372"/>
      <c r="F122" s="726"/>
      <c r="G122" s="734"/>
      <c r="K122" s="339"/>
      <c r="L122" s="339"/>
    </row>
    <row r="123" spans="1:12" x14ac:dyDescent="0.3">
      <c r="A123" s="372" t="s">
        <v>308</v>
      </c>
      <c r="B123" s="423">
        <v>0</v>
      </c>
      <c r="C123" s="727">
        <v>0</v>
      </c>
      <c r="D123" s="735">
        <v>0</v>
      </c>
      <c r="E123" s="375">
        <v>0</v>
      </c>
      <c r="F123" s="727">
        <v>0</v>
      </c>
      <c r="G123" s="735">
        <v>0</v>
      </c>
      <c r="K123" s="339"/>
      <c r="L123" s="339"/>
    </row>
    <row r="124" spans="1:12" x14ac:dyDescent="0.3">
      <c r="A124" s="372" t="s">
        <v>309</v>
      </c>
      <c r="B124" s="422">
        <v>0</v>
      </c>
      <c r="C124" s="726"/>
      <c r="D124" s="734"/>
      <c r="E124" s="372">
        <v>0</v>
      </c>
      <c r="F124" s="726"/>
      <c r="G124" s="734"/>
      <c r="K124" s="339"/>
      <c r="L124" s="339"/>
    </row>
    <row r="125" spans="1:12" x14ac:dyDescent="0.3">
      <c r="A125" s="372" t="s">
        <v>310</v>
      </c>
      <c r="B125" s="422">
        <v>0</v>
      </c>
      <c r="C125" s="726"/>
      <c r="D125" s="734"/>
      <c r="E125" s="372">
        <v>0</v>
      </c>
      <c r="F125" s="726"/>
      <c r="G125" s="734"/>
      <c r="K125" s="339"/>
      <c r="L125" s="339"/>
    </row>
    <row r="126" spans="1:12" x14ac:dyDescent="0.3">
      <c r="A126" s="372" t="s">
        <v>311</v>
      </c>
      <c r="B126" s="422">
        <v>0</v>
      </c>
      <c r="C126" s="726"/>
      <c r="D126" s="734"/>
      <c r="E126" s="372">
        <v>0</v>
      </c>
      <c r="F126" s="726"/>
      <c r="G126" s="734"/>
      <c r="K126" s="339"/>
      <c r="L126" s="339"/>
    </row>
    <row r="127" spans="1:12" x14ac:dyDescent="0.3">
      <c r="A127" s="372" t="s">
        <v>312</v>
      </c>
      <c r="B127" s="422">
        <v>0</v>
      </c>
      <c r="C127" s="726"/>
      <c r="D127" s="734"/>
      <c r="E127" s="372">
        <v>0</v>
      </c>
      <c r="F127" s="726"/>
      <c r="G127" s="734"/>
      <c r="K127" s="339"/>
      <c r="L127" s="339"/>
    </row>
    <row r="128" spans="1:12" x14ac:dyDescent="0.3">
      <c r="A128" s="372" t="s">
        <v>313</v>
      </c>
      <c r="B128" s="422">
        <v>0</v>
      </c>
      <c r="C128" s="726"/>
      <c r="D128" s="734"/>
      <c r="E128" s="372">
        <v>0</v>
      </c>
      <c r="F128" s="726"/>
      <c r="G128" s="734"/>
      <c r="K128" s="339"/>
      <c r="L128" s="339"/>
    </row>
    <row r="129" spans="1:12" x14ac:dyDescent="0.3">
      <c r="A129" s="372" t="s">
        <v>314</v>
      </c>
      <c r="B129" s="422">
        <v>0</v>
      </c>
      <c r="C129" s="726"/>
      <c r="D129" s="734"/>
      <c r="E129" s="372">
        <v>0</v>
      </c>
      <c r="F129" s="726"/>
      <c r="G129" s="734"/>
      <c r="K129" s="339"/>
      <c r="L129" s="339"/>
    </row>
    <row r="130" spans="1:12" x14ac:dyDescent="0.3">
      <c r="A130" s="372" t="s">
        <v>315</v>
      </c>
      <c r="B130" s="422"/>
      <c r="C130" s="726"/>
      <c r="D130" s="734"/>
      <c r="E130" s="372"/>
      <c r="F130" s="726"/>
      <c r="G130" s="734"/>
      <c r="K130" s="339"/>
      <c r="L130" s="339"/>
    </row>
    <row r="131" spans="1:12" x14ac:dyDescent="0.3">
      <c r="A131" s="372"/>
      <c r="B131" s="423">
        <v>0</v>
      </c>
      <c r="C131" s="727">
        <v>0</v>
      </c>
      <c r="D131" s="735">
        <v>0</v>
      </c>
      <c r="E131" s="375">
        <v>0</v>
      </c>
      <c r="F131" s="727">
        <v>0</v>
      </c>
      <c r="G131" s="735">
        <v>0</v>
      </c>
      <c r="K131" s="339"/>
      <c r="L131" s="339"/>
    </row>
    <row r="132" spans="1:12" x14ac:dyDescent="0.3">
      <c r="A132" s="526" t="s">
        <v>12</v>
      </c>
      <c r="B132" s="422">
        <v>0</v>
      </c>
      <c r="C132" s="726"/>
      <c r="D132" s="734"/>
      <c r="E132" s="372">
        <v>0</v>
      </c>
      <c r="F132" s="726"/>
      <c r="G132" s="734"/>
      <c r="K132" s="339"/>
      <c r="L132" s="339"/>
    </row>
    <row r="133" spans="1:12" x14ac:dyDescent="0.3">
      <c r="A133" s="372" t="s">
        <v>316</v>
      </c>
      <c r="B133" s="422">
        <v>0</v>
      </c>
      <c r="C133" s="726"/>
      <c r="D133" s="734"/>
      <c r="E133" s="372">
        <v>0</v>
      </c>
      <c r="F133" s="726"/>
      <c r="G133" s="734"/>
      <c r="K133" s="339"/>
      <c r="L133" s="339"/>
    </row>
    <row r="134" spans="1:12" x14ac:dyDescent="0.3">
      <c r="A134" s="372" t="s">
        <v>317</v>
      </c>
      <c r="B134" s="422">
        <v>0</v>
      </c>
      <c r="C134" s="726"/>
      <c r="D134" s="734"/>
      <c r="E134" s="372">
        <v>0</v>
      </c>
      <c r="F134" s="726"/>
      <c r="G134" s="734"/>
      <c r="K134" s="339"/>
      <c r="L134" s="339"/>
    </row>
    <row r="135" spans="1:12" x14ac:dyDescent="0.3">
      <c r="A135" s="372" t="s">
        <v>318</v>
      </c>
      <c r="B135" s="422">
        <v>0</v>
      </c>
      <c r="C135" s="726"/>
      <c r="D135" s="734"/>
      <c r="E135" s="372">
        <v>0</v>
      </c>
      <c r="F135" s="726"/>
      <c r="G135" s="734"/>
      <c r="K135" s="339"/>
      <c r="L135" s="339"/>
    </row>
    <row r="136" spans="1:12" x14ac:dyDescent="0.3">
      <c r="A136" s="372" t="s">
        <v>319</v>
      </c>
      <c r="B136" s="422">
        <v>0</v>
      </c>
      <c r="C136" s="726"/>
      <c r="D136" s="734"/>
      <c r="E136" s="372">
        <v>0</v>
      </c>
      <c r="F136" s="726"/>
      <c r="G136" s="734"/>
      <c r="K136" s="339"/>
      <c r="L136" s="339"/>
    </row>
    <row r="137" spans="1:12" x14ac:dyDescent="0.3">
      <c r="A137" s="413"/>
      <c r="B137" s="424"/>
      <c r="C137" s="728"/>
      <c r="D137" s="736"/>
      <c r="E137" s="377"/>
      <c r="F137" s="728"/>
      <c r="G137" s="736"/>
      <c r="K137" s="339"/>
      <c r="L137" s="339"/>
    </row>
    <row r="138" spans="1:12" x14ac:dyDescent="0.3">
      <c r="K138" s="339"/>
      <c r="L138" s="339"/>
    </row>
    <row r="139" spans="1:12" x14ac:dyDescent="0.3">
      <c r="K139" s="339"/>
      <c r="L139" s="339"/>
    </row>
    <row r="140" spans="1:12" x14ac:dyDescent="0.3">
      <c r="K140" s="339"/>
      <c r="L140" s="339"/>
    </row>
    <row r="141" spans="1:12" x14ac:dyDescent="0.3">
      <c r="K141" s="339"/>
      <c r="L141" s="339"/>
    </row>
    <row r="142" spans="1:12" x14ac:dyDescent="0.3">
      <c r="K142" s="339"/>
      <c r="L142" s="339"/>
    </row>
    <row r="143" spans="1:12" x14ac:dyDescent="0.3">
      <c r="K143" s="339"/>
      <c r="L143" s="339"/>
    </row>
    <row r="144" spans="1:12" x14ac:dyDescent="0.3">
      <c r="K144" s="339"/>
      <c r="L144" s="339"/>
    </row>
    <row r="145" spans="1:12" x14ac:dyDescent="0.3">
      <c r="K145" s="339"/>
      <c r="L145" s="339"/>
    </row>
    <row r="146" spans="1:12" x14ac:dyDescent="0.3">
      <c r="K146" s="339"/>
      <c r="L146" s="339"/>
    </row>
    <row r="147" spans="1:12" x14ac:dyDescent="0.3">
      <c r="K147" s="339"/>
      <c r="L147" s="339"/>
    </row>
    <row r="148" spans="1:12" x14ac:dyDescent="0.3">
      <c r="K148" s="339"/>
      <c r="L148" s="339"/>
    </row>
    <row r="149" spans="1:12" x14ac:dyDescent="0.3">
      <c r="K149" s="339"/>
      <c r="L149" s="339"/>
    </row>
    <row r="150" spans="1:12" x14ac:dyDescent="0.3">
      <c r="K150" s="339"/>
      <c r="L150" s="339"/>
    </row>
    <row r="151" spans="1:12" x14ac:dyDescent="0.3">
      <c r="K151" s="339"/>
      <c r="L151" s="339"/>
    </row>
    <row r="152" spans="1:12" x14ac:dyDescent="0.3">
      <c r="A152" s="3513" t="s">
        <v>0</v>
      </c>
      <c r="B152" s="3519" t="s">
        <v>5</v>
      </c>
      <c r="C152" s="3519"/>
      <c r="D152" s="3519"/>
      <c r="E152" s="3520" t="s">
        <v>21</v>
      </c>
      <c r="F152" s="3520"/>
      <c r="G152" s="3520"/>
      <c r="K152" s="339"/>
      <c r="L152" s="339"/>
    </row>
    <row r="153" spans="1:12" x14ac:dyDescent="0.3">
      <c r="A153" s="3514"/>
      <c r="B153" s="418" t="s">
        <v>28</v>
      </c>
      <c r="C153" s="723" t="s">
        <v>34</v>
      </c>
      <c r="D153" s="731" t="s">
        <v>62</v>
      </c>
      <c r="E153" s="380" t="s">
        <v>28</v>
      </c>
      <c r="F153" s="723" t="s">
        <v>34</v>
      </c>
      <c r="G153" s="731" t="s">
        <v>62</v>
      </c>
      <c r="K153" s="339"/>
      <c r="L153" s="339"/>
    </row>
    <row r="154" spans="1:12" ht="19.5" thickBot="1" x14ac:dyDescent="0.35">
      <c r="A154" s="419" t="s">
        <v>28</v>
      </c>
      <c r="B154" s="420">
        <v>0</v>
      </c>
      <c r="C154" s="724">
        <v>0</v>
      </c>
      <c r="D154" s="732">
        <v>0</v>
      </c>
      <c r="E154" s="368">
        <v>0</v>
      </c>
      <c r="F154" s="747">
        <v>0</v>
      </c>
      <c r="G154" s="732">
        <v>0</v>
      </c>
      <c r="K154" s="339"/>
      <c r="L154" s="339"/>
    </row>
    <row r="155" spans="1:12" ht="19.5" thickTop="1" x14ac:dyDescent="0.3">
      <c r="A155" s="369" t="s">
        <v>7</v>
      </c>
      <c r="B155" s="421">
        <v>0</v>
      </c>
      <c r="C155" s="725">
        <v>0</v>
      </c>
      <c r="D155" s="733">
        <v>0</v>
      </c>
      <c r="E155" s="370">
        <v>0</v>
      </c>
      <c r="F155" s="725">
        <v>0</v>
      </c>
      <c r="G155" s="733">
        <v>0</v>
      </c>
      <c r="K155" s="339"/>
      <c r="L155" s="339"/>
    </row>
    <row r="156" spans="1:12" x14ac:dyDescent="0.3">
      <c r="A156" s="398" t="s">
        <v>8</v>
      </c>
      <c r="B156" s="422">
        <v>0</v>
      </c>
      <c r="C156" s="726"/>
      <c r="D156" s="734"/>
      <c r="E156" s="372">
        <v>0</v>
      </c>
      <c r="F156" s="726"/>
      <c r="G156" s="734"/>
      <c r="K156" s="339"/>
      <c r="L156" s="339"/>
    </row>
    <row r="157" spans="1:12" x14ac:dyDescent="0.3">
      <c r="A157" s="398" t="s">
        <v>306</v>
      </c>
      <c r="B157" s="422">
        <v>0</v>
      </c>
      <c r="C157" s="726"/>
      <c r="D157" s="734"/>
      <c r="E157" s="372">
        <v>0</v>
      </c>
      <c r="F157" s="726"/>
      <c r="G157" s="734"/>
      <c r="K157" s="339"/>
      <c r="L157" s="339"/>
    </row>
    <row r="158" spans="1:12" x14ac:dyDescent="0.3">
      <c r="A158" s="372"/>
      <c r="B158" s="422"/>
      <c r="C158" s="726"/>
      <c r="D158" s="734"/>
      <c r="E158" s="372"/>
      <c r="F158" s="726"/>
      <c r="G158" s="734"/>
      <c r="K158" s="339"/>
      <c r="L158" s="339"/>
    </row>
    <row r="159" spans="1:12" x14ac:dyDescent="0.3">
      <c r="A159" s="526" t="s">
        <v>9</v>
      </c>
      <c r="B159" s="425">
        <v>0</v>
      </c>
      <c r="C159" s="727">
        <v>0</v>
      </c>
      <c r="D159" s="738">
        <v>0</v>
      </c>
      <c r="E159" s="375">
        <v>0</v>
      </c>
      <c r="F159" s="727">
        <v>0</v>
      </c>
      <c r="G159" s="735">
        <v>0</v>
      </c>
      <c r="K159" s="339"/>
      <c r="L159" s="339"/>
    </row>
    <row r="160" spans="1:12" x14ac:dyDescent="0.3">
      <c r="A160" s="372" t="s">
        <v>308</v>
      </c>
      <c r="B160" s="426">
        <v>0</v>
      </c>
      <c r="C160" s="726"/>
      <c r="D160" s="739"/>
      <c r="E160" s="372">
        <v>0</v>
      </c>
      <c r="F160" s="726"/>
      <c r="G160" s="734"/>
      <c r="K160" s="339"/>
      <c r="L160" s="339"/>
    </row>
    <row r="161" spans="1:12" x14ac:dyDescent="0.3">
      <c r="A161" s="372" t="s">
        <v>309</v>
      </c>
      <c r="B161" s="422">
        <v>0</v>
      </c>
      <c r="C161" s="726"/>
      <c r="D161" s="734"/>
      <c r="E161" s="372">
        <v>0</v>
      </c>
      <c r="F161" s="726"/>
      <c r="G161" s="734"/>
      <c r="K161" s="339"/>
      <c r="L161" s="339"/>
    </row>
    <row r="162" spans="1:12" x14ac:dyDescent="0.3">
      <c r="A162" s="372" t="s">
        <v>310</v>
      </c>
      <c r="B162" s="422">
        <v>0</v>
      </c>
      <c r="C162" s="726"/>
      <c r="D162" s="734"/>
      <c r="E162" s="372">
        <v>0</v>
      </c>
      <c r="F162" s="726"/>
      <c r="G162" s="734"/>
      <c r="K162" s="339"/>
      <c r="L162" s="339"/>
    </row>
    <row r="163" spans="1:12" x14ac:dyDescent="0.3">
      <c r="A163" s="372" t="s">
        <v>311</v>
      </c>
      <c r="B163" s="422">
        <v>0</v>
      </c>
      <c r="C163" s="726"/>
      <c r="D163" s="734"/>
      <c r="E163" s="372">
        <v>0</v>
      </c>
      <c r="F163" s="726"/>
      <c r="G163" s="734"/>
      <c r="K163" s="339"/>
      <c r="L163" s="339"/>
    </row>
    <row r="164" spans="1:12" x14ac:dyDescent="0.3">
      <c r="A164" s="372" t="s">
        <v>312</v>
      </c>
      <c r="B164" s="422">
        <v>0</v>
      </c>
      <c r="C164" s="726"/>
      <c r="D164" s="734"/>
      <c r="E164" s="372">
        <v>0</v>
      </c>
      <c r="F164" s="726"/>
      <c r="G164" s="734"/>
      <c r="K164" s="339"/>
      <c r="L164" s="339"/>
    </row>
    <row r="165" spans="1:12" x14ac:dyDescent="0.3">
      <c r="A165" s="372" t="s">
        <v>313</v>
      </c>
      <c r="B165" s="422">
        <v>0</v>
      </c>
      <c r="C165" s="726"/>
      <c r="D165" s="734"/>
      <c r="E165" s="372">
        <v>0</v>
      </c>
      <c r="F165" s="726"/>
      <c r="G165" s="734"/>
      <c r="K165" s="339"/>
      <c r="L165" s="339"/>
    </row>
    <row r="166" spans="1:12" x14ac:dyDescent="0.3">
      <c r="A166" s="372" t="s">
        <v>314</v>
      </c>
      <c r="B166" s="422"/>
      <c r="C166" s="726"/>
      <c r="D166" s="734"/>
      <c r="E166" s="372"/>
      <c r="F166" s="726"/>
      <c r="G166" s="734"/>
      <c r="K166" s="339"/>
      <c r="L166" s="339"/>
    </row>
    <row r="167" spans="1:12" x14ac:dyDescent="0.3">
      <c r="A167" s="372" t="s">
        <v>315</v>
      </c>
      <c r="B167" s="422"/>
      <c r="C167" s="726"/>
      <c r="D167" s="734"/>
      <c r="E167" s="372"/>
      <c r="F167" s="726"/>
      <c r="G167" s="734"/>
      <c r="K167" s="339"/>
      <c r="L167" s="339"/>
    </row>
    <row r="168" spans="1:12" x14ac:dyDescent="0.3">
      <c r="A168" s="372"/>
      <c r="B168" s="422"/>
      <c r="C168" s="726"/>
      <c r="D168" s="734"/>
      <c r="E168" s="372"/>
      <c r="F168" s="726"/>
      <c r="G168" s="734"/>
      <c r="K168" s="339"/>
      <c r="L168" s="339"/>
    </row>
    <row r="169" spans="1:12" x14ac:dyDescent="0.3">
      <c r="A169" s="526" t="s">
        <v>12</v>
      </c>
      <c r="B169" s="423">
        <v>0</v>
      </c>
      <c r="C169" s="727">
        <v>0</v>
      </c>
      <c r="D169" s="735">
        <v>0</v>
      </c>
      <c r="E169" s="376">
        <v>0</v>
      </c>
      <c r="F169" s="748">
        <v>0</v>
      </c>
      <c r="G169" s="735">
        <v>0</v>
      </c>
      <c r="K169" s="339"/>
      <c r="L169" s="339"/>
    </row>
    <row r="170" spans="1:12" x14ac:dyDescent="0.3">
      <c r="A170" s="372" t="s">
        <v>316</v>
      </c>
      <c r="B170" s="422">
        <v>0</v>
      </c>
      <c r="C170" s="726"/>
      <c r="D170" s="734"/>
      <c r="E170" s="372">
        <v>0</v>
      </c>
      <c r="F170" s="726"/>
      <c r="G170" s="734"/>
      <c r="K170" s="339"/>
      <c r="L170" s="339"/>
    </row>
    <row r="171" spans="1:12" x14ac:dyDescent="0.3">
      <c r="A171" s="372" t="s">
        <v>317</v>
      </c>
      <c r="B171" s="422">
        <v>0</v>
      </c>
      <c r="C171" s="726"/>
      <c r="D171" s="734"/>
      <c r="E171" s="372">
        <v>0</v>
      </c>
      <c r="F171" s="726"/>
      <c r="G171" s="734"/>
      <c r="K171" s="339"/>
      <c r="L171" s="339"/>
    </row>
    <row r="172" spans="1:12" x14ac:dyDescent="0.3">
      <c r="A172" s="372" t="s">
        <v>318</v>
      </c>
      <c r="B172" s="422">
        <v>0</v>
      </c>
      <c r="C172" s="726"/>
      <c r="D172" s="734"/>
      <c r="E172" s="372">
        <v>0</v>
      </c>
      <c r="F172" s="726"/>
      <c r="G172" s="734"/>
      <c r="K172" s="339"/>
      <c r="L172" s="339"/>
    </row>
    <row r="173" spans="1:12" x14ac:dyDescent="0.3">
      <c r="A173" s="372" t="s">
        <v>319</v>
      </c>
      <c r="B173" s="422">
        <v>0</v>
      </c>
      <c r="C173" s="726"/>
      <c r="D173" s="734"/>
      <c r="E173" s="374">
        <v>0</v>
      </c>
      <c r="F173" s="729"/>
      <c r="G173" s="734"/>
      <c r="K173" s="339"/>
      <c r="L173" s="339"/>
    </row>
    <row r="174" spans="1:12" x14ac:dyDescent="0.3">
      <c r="A174" s="413"/>
      <c r="B174" s="424"/>
      <c r="C174" s="728"/>
      <c r="D174" s="736"/>
      <c r="E174" s="377"/>
      <c r="F174" s="728"/>
      <c r="G174" s="736"/>
      <c r="K174" s="339"/>
      <c r="L174" s="339"/>
    </row>
    <row r="175" spans="1:12" x14ac:dyDescent="0.3">
      <c r="K175" s="339"/>
      <c r="L175" s="339"/>
    </row>
    <row r="176" spans="1:12" x14ac:dyDescent="0.3">
      <c r="K176" s="339"/>
      <c r="L176" s="339"/>
    </row>
    <row r="177" spans="11:12" x14ac:dyDescent="0.3">
      <c r="K177" s="339"/>
      <c r="L177" s="339"/>
    </row>
    <row r="178" spans="11:12" x14ac:dyDescent="0.3">
      <c r="K178" s="339"/>
      <c r="L178" s="339"/>
    </row>
    <row r="179" spans="11:12" x14ac:dyDescent="0.3">
      <c r="K179" s="339"/>
      <c r="L179" s="339"/>
    </row>
    <row r="180" spans="11:12" x14ac:dyDescent="0.3">
      <c r="K180" s="339"/>
      <c r="L180" s="339"/>
    </row>
    <row r="181" spans="11:12" x14ac:dyDescent="0.3">
      <c r="K181" s="339"/>
      <c r="L181" s="339"/>
    </row>
    <row r="182" spans="11:12" x14ac:dyDescent="0.3">
      <c r="K182" s="339"/>
      <c r="L182" s="339"/>
    </row>
    <row r="183" spans="11:12" x14ac:dyDescent="0.3">
      <c r="K183" s="339"/>
      <c r="L183" s="339"/>
    </row>
    <row r="184" spans="11:12" x14ac:dyDescent="0.3">
      <c r="K184" s="339"/>
      <c r="L184" s="339"/>
    </row>
    <row r="185" spans="11:12" x14ac:dyDescent="0.3">
      <c r="K185" s="339"/>
      <c r="L185" s="339"/>
    </row>
    <row r="186" spans="11:12" x14ac:dyDescent="0.3">
      <c r="K186" s="339"/>
      <c r="L186" s="339"/>
    </row>
    <row r="187" spans="11:12" x14ac:dyDescent="0.3">
      <c r="K187" s="339"/>
      <c r="L187" s="339"/>
    </row>
    <row r="188" spans="11:12" x14ac:dyDescent="0.3">
      <c r="K188" s="339"/>
      <c r="L188" s="339"/>
    </row>
    <row r="189" spans="11:12" x14ac:dyDescent="0.3">
      <c r="K189" s="339"/>
      <c r="L189" s="339"/>
    </row>
    <row r="190" spans="11:12" x14ac:dyDescent="0.3">
      <c r="K190" s="339"/>
      <c r="L190" s="339"/>
    </row>
    <row r="191" spans="11:12" x14ac:dyDescent="0.3">
      <c r="K191" s="339"/>
      <c r="L191" s="339"/>
    </row>
    <row r="192" spans="11:12" x14ac:dyDescent="0.3">
      <c r="K192" s="339"/>
      <c r="L192" s="339"/>
    </row>
    <row r="193" spans="11:12" x14ac:dyDescent="0.3">
      <c r="K193" s="339"/>
      <c r="L193" s="339"/>
    </row>
    <row r="194" spans="11:12" x14ac:dyDescent="0.3">
      <c r="K194" s="339"/>
      <c r="L194" s="339"/>
    </row>
    <row r="195" spans="11:12" x14ac:dyDescent="0.3">
      <c r="K195" s="339"/>
      <c r="L195" s="339"/>
    </row>
    <row r="196" spans="11:12" x14ac:dyDescent="0.3">
      <c r="K196" s="339"/>
      <c r="L196" s="339"/>
    </row>
    <row r="197" spans="11:12" x14ac:dyDescent="0.3">
      <c r="K197" s="339"/>
      <c r="L197" s="339"/>
    </row>
    <row r="198" spans="11:12" x14ac:dyDescent="0.3">
      <c r="K198" s="339"/>
      <c r="L198" s="339"/>
    </row>
    <row r="199" spans="11:12" x14ac:dyDescent="0.3">
      <c r="K199" s="339"/>
      <c r="L199" s="339"/>
    </row>
    <row r="200" spans="11:12" x14ac:dyDescent="0.3">
      <c r="K200" s="339"/>
      <c r="L200" s="339"/>
    </row>
    <row r="201" spans="11:12" x14ac:dyDescent="0.3">
      <c r="K201" s="339"/>
      <c r="L201" s="339"/>
    </row>
    <row r="202" spans="11:12" x14ac:dyDescent="0.3">
      <c r="K202" s="339"/>
      <c r="L202" s="339"/>
    </row>
    <row r="203" spans="11:12" x14ac:dyDescent="0.3">
      <c r="K203" s="339"/>
      <c r="L203" s="339"/>
    </row>
    <row r="204" spans="11:12" x14ac:dyDescent="0.3">
      <c r="K204" s="339"/>
      <c r="L204" s="339"/>
    </row>
    <row r="205" spans="11:12" x14ac:dyDescent="0.3">
      <c r="K205" s="339"/>
      <c r="L205" s="339"/>
    </row>
    <row r="206" spans="11:12" x14ac:dyDescent="0.3">
      <c r="K206" s="339"/>
      <c r="L206" s="339"/>
    </row>
    <row r="207" spans="11:12" x14ac:dyDescent="0.3">
      <c r="K207" s="339"/>
      <c r="L207" s="339"/>
    </row>
    <row r="208" spans="11:12" x14ac:dyDescent="0.3">
      <c r="K208" s="339"/>
      <c r="L208" s="339"/>
    </row>
    <row r="209" spans="11:12" x14ac:dyDescent="0.3">
      <c r="K209" s="339"/>
      <c r="L209" s="339"/>
    </row>
    <row r="210" spans="11:12" x14ac:dyDescent="0.3">
      <c r="K210" s="339"/>
      <c r="L210" s="339"/>
    </row>
    <row r="211" spans="11:12" x14ac:dyDescent="0.3">
      <c r="K211" s="339"/>
      <c r="L211" s="339"/>
    </row>
    <row r="212" spans="11:12" x14ac:dyDescent="0.3">
      <c r="K212" s="339"/>
      <c r="L212" s="339"/>
    </row>
    <row r="213" spans="11:12" x14ac:dyDescent="0.3">
      <c r="K213" s="339"/>
      <c r="L213" s="339"/>
    </row>
    <row r="214" spans="11:12" x14ac:dyDescent="0.3">
      <c r="K214" s="339"/>
      <c r="L214" s="339"/>
    </row>
    <row r="215" spans="11:12" x14ac:dyDescent="0.3">
      <c r="K215" s="339"/>
      <c r="L215" s="339"/>
    </row>
    <row r="216" spans="11:12" x14ac:dyDescent="0.3">
      <c r="K216" s="339"/>
      <c r="L216" s="339"/>
    </row>
    <row r="217" spans="11:12" x14ac:dyDescent="0.3">
      <c r="K217" s="339"/>
      <c r="L217" s="339"/>
    </row>
    <row r="218" spans="11:12" x14ac:dyDescent="0.3">
      <c r="K218" s="339"/>
      <c r="L218" s="339"/>
    </row>
    <row r="219" spans="11:12" x14ac:dyDescent="0.3">
      <c r="K219" s="339"/>
      <c r="L219" s="339"/>
    </row>
    <row r="220" spans="11:12" x14ac:dyDescent="0.3">
      <c r="K220" s="339"/>
      <c r="L220" s="339"/>
    </row>
    <row r="221" spans="11:12" x14ac:dyDescent="0.3">
      <c r="K221" s="339"/>
      <c r="L221" s="339"/>
    </row>
    <row r="222" spans="11:12" x14ac:dyDescent="0.3">
      <c r="K222" s="339"/>
      <c r="L222" s="339"/>
    </row>
    <row r="223" spans="11:12" x14ac:dyDescent="0.3">
      <c r="K223" s="339"/>
      <c r="L223" s="339"/>
    </row>
    <row r="224" spans="11:12" x14ac:dyDescent="0.3">
      <c r="K224" s="339"/>
      <c r="L224" s="339"/>
    </row>
    <row r="225" spans="11:12" x14ac:dyDescent="0.3">
      <c r="K225" s="339"/>
      <c r="L225" s="339"/>
    </row>
    <row r="226" spans="11:12" x14ac:dyDescent="0.3">
      <c r="K226" s="339"/>
      <c r="L226" s="339"/>
    </row>
    <row r="227" spans="11:12" x14ac:dyDescent="0.3">
      <c r="K227" s="339"/>
      <c r="L227" s="339"/>
    </row>
    <row r="228" spans="11:12" x14ac:dyDescent="0.3">
      <c r="K228" s="339"/>
      <c r="L228" s="339"/>
    </row>
    <row r="229" spans="11:12" x14ac:dyDescent="0.3">
      <c r="K229" s="339"/>
      <c r="L229" s="339"/>
    </row>
    <row r="230" spans="11:12" x14ac:dyDescent="0.3">
      <c r="K230" s="339"/>
      <c r="L230" s="339"/>
    </row>
    <row r="231" spans="11:12" x14ac:dyDescent="0.3">
      <c r="K231" s="339"/>
      <c r="L231" s="339"/>
    </row>
    <row r="232" spans="11:12" x14ac:dyDescent="0.3">
      <c r="K232" s="339"/>
      <c r="L232" s="339"/>
    </row>
    <row r="233" spans="11:12" x14ac:dyDescent="0.3">
      <c r="K233" s="339"/>
      <c r="L233" s="339"/>
    </row>
    <row r="234" spans="11:12" x14ac:dyDescent="0.3">
      <c r="K234" s="339"/>
      <c r="L234" s="339"/>
    </row>
    <row r="235" spans="11:12" x14ac:dyDescent="0.3">
      <c r="K235" s="339"/>
      <c r="L235" s="339"/>
    </row>
    <row r="236" spans="11:12" x14ac:dyDescent="0.3">
      <c r="K236" s="339"/>
      <c r="L236" s="339"/>
    </row>
    <row r="237" spans="11:12" x14ac:dyDescent="0.3">
      <c r="K237" s="339"/>
      <c r="L237" s="339"/>
    </row>
    <row r="238" spans="11:12" x14ac:dyDescent="0.3">
      <c r="K238" s="339"/>
      <c r="L238" s="339"/>
    </row>
    <row r="239" spans="11:12" x14ac:dyDescent="0.3">
      <c r="K239" s="339"/>
      <c r="L239" s="339"/>
    </row>
    <row r="240" spans="11:12" x14ac:dyDescent="0.3">
      <c r="K240" s="339"/>
      <c r="L240" s="339"/>
    </row>
    <row r="241" spans="11:12" x14ac:dyDescent="0.3">
      <c r="K241" s="339"/>
      <c r="L241" s="339"/>
    </row>
    <row r="242" spans="11:12" x14ac:dyDescent="0.3">
      <c r="K242" s="339"/>
      <c r="L242" s="339"/>
    </row>
    <row r="243" spans="11:12" x14ac:dyDescent="0.3">
      <c r="K243" s="339"/>
      <c r="L243" s="339"/>
    </row>
    <row r="244" spans="11:12" x14ac:dyDescent="0.3">
      <c r="K244" s="339"/>
      <c r="L244" s="339"/>
    </row>
    <row r="245" spans="11:12" x14ac:dyDescent="0.3">
      <c r="K245" s="339"/>
      <c r="L245" s="339"/>
    </row>
    <row r="246" spans="11:12" x14ac:dyDescent="0.3">
      <c r="K246" s="339"/>
      <c r="L246" s="339"/>
    </row>
    <row r="247" spans="11:12" x14ac:dyDescent="0.3">
      <c r="K247" s="339"/>
      <c r="L247" s="339"/>
    </row>
    <row r="248" spans="11:12" x14ac:dyDescent="0.3">
      <c r="K248" s="339"/>
      <c r="L248" s="339"/>
    </row>
    <row r="249" spans="11:12" x14ac:dyDescent="0.3">
      <c r="K249" s="339"/>
      <c r="L249" s="339"/>
    </row>
    <row r="250" spans="11:12" x14ac:dyDescent="0.3">
      <c r="K250" s="339"/>
      <c r="L250" s="339"/>
    </row>
    <row r="251" spans="11:12" x14ac:dyDescent="0.3">
      <c r="K251" s="339"/>
      <c r="L251" s="339"/>
    </row>
    <row r="252" spans="11:12" x14ac:dyDescent="0.3">
      <c r="K252" s="339"/>
      <c r="L252" s="339"/>
    </row>
    <row r="253" spans="11:12" x14ac:dyDescent="0.3">
      <c r="K253" s="339"/>
      <c r="L253" s="339"/>
    </row>
    <row r="254" spans="11:12" x14ac:dyDescent="0.3">
      <c r="K254" s="339"/>
      <c r="L254" s="339"/>
    </row>
    <row r="255" spans="11:12" x14ac:dyDescent="0.3">
      <c r="K255" s="339"/>
      <c r="L255" s="339"/>
    </row>
    <row r="256" spans="11:12" x14ac:dyDescent="0.3">
      <c r="K256" s="339"/>
      <c r="L256" s="339"/>
    </row>
    <row r="257" spans="11:12" x14ac:dyDescent="0.3">
      <c r="K257" s="339"/>
      <c r="L257" s="339"/>
    </row>
    <row r="258" spans="11:12" x14ac:dyDescent="0.3">
      <c r="K258" s="339"/>
      <c r="L258" s="339"/>
    </row>
    <row r="259" spans="11:12" x14ac:dyDescent="0.3">
      <c r="K259" s="339"/>
      <c r="L259" s="339"/>
    </row>
    <row r="260" spans="11:12" x14ac:dyDescent="0.3">
      <c r="K260" s="339"/>
      <c r="L260" s="339"/>
    </row>
    <row r="261" spans="11:12" x14ac:dyDescent="0.3">
      <c r="K261" s="339"/>
      <c r="L261" s="339"/>
    </row>
    <row r="262" spans="11:12" x14ac:dyDescent="0.3">
      <c r="K262" s="339"/>
      <c r="L262" s="339"/>
    </row>
    <row r="263" spans="11:12" x14ac:dyDescent="0.3">
      <c r="K263" s="339"/>
      <c r="L263" s="339"/>
    </row>
    <row r="264" spans="11:12" x14ac:dyDescent="0.3">
      <c r="K264" s="339"/>
      <c r="L264" s="339"/>
    </row>
    <row r="265" spans="11:12" x14ac:dyDescent="0.3">
      <c r="K265" s="339"/>
      <c r="L265" s="339"/>
    </row>
    <row r="266" spans="11:12" x14ac:dyDescent="0.3">
      <c r="K266" s="339"/>
      <c r="L266" s="339"/>
    </row>
    <row r="267" spans="11:12" x14ac:dyDescent="0.3">
      <c r="K267" s="339"/>
      <c r="L267" s="339"/>
    </row>
    <row r="268" spans="11:12" x14ac:dyDescent="0.3">
      <c r="K268" s="339"/>
      <c r="L268" s="339"/>
    </row>
    <row r="269" spans="11:12" x14ac:dyDescent="0.3">
      <c r="K269" s="339"/>
      <c r="L269" s="339"/>
    </row>
    <row r="270" spans="11:12" x14ac:dyDescent="0.3">
      <c r="K270" s="339"/>
      <c r="L270" s="339"/>
    </row>
    <row r="271" spans="11:12" x14ac:dyDescent="0.3">
      <c r="K271" s="339"/>
      <c r="L271" s="339"/>
    </row>
    <row r="272" spans="11:12" x14ac:dyDescent="0.3">
      <c r="K272" s="339"/>
      <c r="L272" s="339"/>
    </row>
    <row r="273" spans="11:12" x14ac:dyDescent="0.3">
      <c r="K273" s="339"/>
      <c r="L273" s="339"/>
    </row>
    <row r="274" spans="11:12" x14ac:dyDescent="0.3">
      <c r="K274" s="339"/>
      <c r="L274" s="339"/>
    </row>
    <row r="275" spans="11:12" x14ac:dyDescent="0.3">
      <c r="K275" s="339"/>
      <c r="L275" s="339"/>
    </row>
    <row r="276" spans="11:12" x14ac:dyDescent="0.3">
      <c r="K276" s="339"/>
      <c r="L276" s="339"/>
    </row>
    <row r="277" spans="11:12" x14ac:dyDescent="0.3">
      <c r="K277" s="339"/>
      <c r="L277" s="339"/>
    </row>
    <row r="278" spans="11:12" x14ac:dyDescent="0.3">
      <c r="K278" s="339"/>
      <c r="L278" s="339"/>
    </row>
    <row r="279" spans="11:12" x14ac:dyDescent="0.3">
      <c r="K279" s="339"/>
      <c r="L279" s="339"/>
    </row>
    <row r="280" spans="11:12" x14ac:dyDescent="0.3">
      <c r="K280" s="339"/>
      <c r="L280" s="339"/>
    </row>
    <row r="281" spans="11:12" x14ac:dyDescent="0.3">
      <c r="K281" s="339"/>
      <c r="L281" s="339"/>
    </row>
    <row r="282" spans="11:12" x14ac:dyDescent="0.3">
      <c r="K282" s="339"/>
      <c r="L282" s="339"/>
    </row>
    <row r="283" spans="11:12" x14ac:dyDescent="0.3">
      <c r="K283" s="339"/>
      <c r="L283" s="339"/>
    </row>
    <row r="284" spans="11:12" x14ac:dyDescent="0.3">
      <c r="K284" s="339"/>
      <c r="L284" s="339"/>
    </row>
    <row r="285" spans="11:12" x14ac:dyDescent="0.3">
      <c r="K285" s="339"/>
      <c r="L285" s="339"/>
    </row>
    <row r="286" spans="11:12" x14ac:dyDescent="0.3">
      <c r="K286" s="339"/>
      <c r="L286" s="339"/>
    </row>
    <row r="287" spans="11:12" x14ac:dyDescent="0.3">
      <c r="K287" s="339"/>
      <c r="L287" s="339"/>
    </row>
    <row r="288" spans="11:12" x14ac:dyDescent="0.3">
      <c r="K288" s="339"/>
      <c r="L288" s="339"/>
    </row>
    <row r="289" spans="11:12" x14ac:dyDescent="0.3">
      <c r="K289" s="339"/>
      <c r="L289" s="339"/>
    </row>
    <row r="290" spans="11:12" x14ac:dyDescent="0.3">
      <c r="K290" s="339"/>
      <c r="L290" s="339"/>
    </row>
    <row r="291" spans="11:12" x14ac:dyDescent="0.3">
      <c r="K291" s="339"/>
      <c r="L291" s="339"/>
    </row>
    <row r="292" spans="11:12" x14ac:dyDescent="0.3">
      <c r="K292" s="339"/>
      <c r="L292" s="339"/>
    </row>
    <row r="293" spans="11:12" x14ac:dyDescent="0.3">
      <c r="K293" s="339"/>
      <c r="L293" s="339"/>
    </row>
    <row r="294" spans="11:12" x14ac:dyDescent="0.3">
      <c r="K294" s="339"/>
      <c r="L294" s="339"/>
    </row>
    <row r="295" spans="11:12" x14ac:dyDescent="0.3">
      <c r="K295" s="339"/>
      <c r="L295" s="339"/>
    </row>
    <row r="296" spans="11:12" x14ac:dyDescent="0.3">
      <c r="K296" s="339"/>
      <c r="L296" s="339"/>
    </row>
    <row r="297" spans="11:12" x14ac:dyDescent="0.3">
      <c r="K297" s="339"/>
      <c r="L297" s="339"/>
    </row>
    <row r="298" spans="11:12" x14ac:dyDescent="0.3">
      <c r="K298" s="339"/>
      <c r="L298" s="339"/>
    </row>
    <row r="299" spans="11:12" x14ac:dyDescent="0.3">
      <c r="K299" s="339"/>
      <c r="L299" s="339"/>
    </row>
    <row r="300" spans="11:12" x14ac:dyDescent="0.3">
      <c r="K300" s="339"/>
      <c r="L300" s="339"/>
    </row>
    <row r="301" spans="11:12" x14ac:dyDescent="0.3">
      <c r="K301" s="339"/>
      <c r="L301" s="339"/>
    </row>
    <row r="302" spans="11:12" x14ac:dyDescent="0.3">
      <c r="K302" s="339"/>
      <c r="L302" s="339"/>
    </row>
    <row r="303" spans="11:12" x14ac:dyDescent="0.3">
      <c r="K303" s="339"/>
      <c r="L303" s="339"/>
    </row>
    <row r="304" spans="11:12" x14ac:dyDescent="0.3">
      <c r="K304" s="339"/>
      <c r="L304" s="339"/>
    </row>
    <row r="305" spans="11:12" x14ac:dyDescent="0.3">
      <c r="K305" s="339"/>
      <c r="L305" s="339"/>
    </row>
    <row r="306" spans="11:12" x14ac:dyDescent="0.3">
      <c r="K306" s="339"/>
      <c r="L306" s="339"/>
    </row>
    <row r="307" spans="11:12" x14ac:dyDescent="0.3">
      <c r="K307" s="339"/>
      <c r="L307" s="339"/>
    </row>
    <row r="308" spans="11:12" x14ac:dyDescent="0.3">
      <c r="K308" s="339"/>
      <c r="L308" s="339"/>
    </row>
    <row r="309" spans="11:12" x14ac:dyDescent="0.3">
      <c r="K309" s="339"/>
      <c r="L309" s="339"/>
    </row>
    <row r="310" spans="11:12" x14ac:dyDescent="0.3">
      <c r="K310" s="339"/>
      <c r="L310" s="339"/>
    </row>
    <row r="311" spans="11:12" x14ac:dyDescent="0.3">
      <c r="K311" s="339"/>
      <c r="L311" s="339"/>
    </row>
    <row r="312" spans="11:12" x14ac:dyDescent="0.3">
      <c r="K312" s="339"/>
      <c r="L312" s="339"/>
    </row>
    <row r="313" spans="11:12" x14ac:dyDescent="0.3">
      <c r="K313" s="339"/>
      <c r="L313" s="339"/>
    </row>
    <row r="314" spans="11:12" x14ac:dyDescent="0.3">
      <c r="K314" s="339"/>
      <c r="L314" s="339"/>
    </row>
    <row r="315" spans="11:12" x14ac:dyDescent="0.3">
      <c r="K315" s="339"/>
      <c r="L315" s="339"/>
    </row>
    <row r="316" spans="11:12" x14ac:dyDescent="0.3">
      <c r="K316" s="339"/>
      <c r="L316" s="339"/>
    </row>
    <row r="317" spans="11:12" x14ac:dyDescent="0.3">
      <c r="K317" s="339"/>
      <c r="L317" s="339"/>
    </row>
    <row r="318" spans="11:12" x14ac:dyDescent="0.3">
      <c r="K318" s="339"/>
      <c r="L318" s="339"/>
    </row>
    <row r="319" spans="11:12" x14ac:dyDescent="0.3">
      <c r="K319" s="339"/>
      <c r="L319" s="339"/>
    </row>
    <row r="320" spans="11:12" x14ac:dyDescent="0.3">
      <c r="K320" s="339"/>
      <c r="L320" s="339"/>
    </row>
    <row r="321" spans="11:12" x14ac:dyDescent="0.3">
      <c r="K321" s="339"/>
      <c r="L321" s="339"/>
    </row>
    <row r="322" spans="11:12" x14ac:dyDescent="0.3">
      <c r="K322" s="339"/>
      <c r="L322" s="339"/>
    </row>
    <row r="323" spans="11:12" x14ac:dyDescent="0.3">
      <c r="K323" s="339"/>
      <c r="L323" s="339"/>
    </row>
    <row r="324" spans="11:12" x14ac:dyDescent="0.3">
      <c r="K324" s="339"/>
      <c r="L324" s="339"/>
    </row>
    <row r="325" spans="11:12" x14ac:dyDescent="0.3">
      <c r="K325" s="339"/>
      <c r="L325" s="339"/>
    </row>
    <row r="326" spans="11:12" x14ac:dyDescent="0.3">
      <c r="K326" s="339"/>
      <c r="L326" s="339"/>
    </row>
    <row r="327" spans="11:12" x14ac:dyDescent="0.3">
      <c r="K327" s="339"/>
      <c r="L327" s="339"/>
    </row>
    <row r="328" spans="11:12" x14ac:dyDescent="0.3">
      <c r="K328" s="339"/>
      <c r="L328" s="339"/>
    </row>
    <row r="329" spans="11:12" x14ac:dyDescent="0.3">
      <c r="K329" s="339"/>
      <c r="L329" s="339"/>
    </row>
    <row r="330" spans="11:12" x14ac:dyDescent="0.3">
      <c r="K330" s="339"/>
      <c r="L330" s="339"/>
    </row>
    <row r="331" spans="11:12" x14ac:dyDescent="0.3">
      <c r="K331" s="339"/>
      <c r="L331" s="339"/>
    </row>
    <row r="332" spans="11:12" x14ac:dyDescent="0.3">
      <c r="K332" s="339"/>
      <c r="L332" s="339"/>
    </row>
    <row r="333" spans="11:12" x14ac:dyDescent="0.3">
      <c r="K333" s="339"/>
      <c r="L333" s="339"/>
    </row>
    <row r="334" spans="11:12" x14ac:dyDescent="0.3">
      <c r="K334" s="339"/>
      <c r="L334" s="339"/>
    </row>
    <row r="335" spans="11:12" x14ac:dyDescent="0.3">
      <c r="K335" s="339"/>
      <c r="L335" s="339"/>
    </row>
    <row r="336" spans="11:12" x14ac:dyDescent="0.3">
      <c r="K336" s="339"/>
      <c r="L336" s="339"/>
    </row>
    <row r="337" spans="11:12" x14ac:dyDescent="0.3">
      <c r="K337" s="339"/>
      <c r="L337" s="339"/>
    </row>
    <row r="338" spans="11:12" x14ac:dyDescent="0.3">
      <c r="K338" s="339"/>
      <c r="L338" s="339"/>
    </row>
    <row r="339" spans="11:12" x14ac:dyDescent="0.3">
      <c r="K339" s="339"/>
      <c r="L339" s="339"/>
    </row>
    <row r="340" spans="11:12" x14ac:dyDescent="0.3">
      <c r="K340" s="339"/>
      <c r="L340" s="339"/>
    </row>
    <row r="341" spans="11:12" x14ac:dyDescent="0.3">
      <c r="K341" s="339"/>
      <c r="L341" s="339"/>
    </row>
    <row r="342" spans="11:12" x14ac:dyDescent="0.3">
      <c r="K342" s="339"/>
      <c r="L342" s="339"/>
    </row>
    <row r="343" spans="11:12" x14ac:dyDescent="0.3">
      <c r="K343" s="339"/>
      <c r="L343" s="339"/>
    </row>
    <row r="344" spans="11:12" x14ac:dyDescent="0.3">
      <c r="K344" s="339"/>
      <c r="L344" s="339"/>
    </row>
    <row r="345" spans="11:12" x14ac:dyDescent="0.3">
      <c r="K345" s="339"/>
      <c r="L345" s="339"/>
    </row>
    <row r="346" spans="11:12" x14ac:dyDescent="0.3">
      <c r="K346" s="339"/>
      <c r="L346" s="339"/>
    </row>
    <row r="347" spans="11:12" x14ac:dyDescent="0.3">
      <c r="K347" s="339"/>
      <c r="L347" s="339"/>
    </row>
    <row r="348" spans="11:12" x14ac:dyDescent="0.3">
      <c r="K348" s="339"/>
      <c r="L348" s="339"/>
    </row>
    <row r="349" spans="11:12" x14ac:dyDescent="0.3">
      <c r="K349" s="339"/>
      <c r="L349" s="339"/>
    </row>
    <row r="350" spans="11:12" x14ac:dyDescent="0.3">
      <c r="K350" s="339"/>
      <c r="L350" s="339"/>
    </row>
    <row r="351" spans="11:12" x14ac:dyDescent="0.3">
      <c r="K351" s="339"/>
      <c r="L351" s="339"/>
    </row>
    <row r="352" spans="11:12" x14ac:dyDescent="0.3">
      <c r="K352" s="339"/>
      <c r="L352" s="339"/>
    </row>
    <row r="353" spans="11:12" x14ac:dyDescent="0.3">
      <c r="K353" s="339"/>
      <c r="L353" s="339"/>
    </row>
    <row r="354" spans="11:12" x14ac:dyDescent="0.3">
      <c r="K354" s="339"/>
      <c r="L354" s="339"/>
    </row>
    <row r="355" spans="11:12" x14ac:dyDescent="0.3">
      <c r="K355" s="339"/>
      <c r="L355" s="339"/>
    </row>
    <row r="356" spans="11:12" x14ac:dyDescent="0.3">
      <c r="K356" s="339"/>
      <c r="L356" s="339"/>
    </row>
    <row r="357" spans="11:12" x14ac:dyDescent="0.3">
      <c r="K357" s="339"/>
      <c r="L357" s="339"/>
    </row>
    <row r="358" spans="11:12" x14ac:dyDescent="0.3">
      <c r="K358" s="339"/>
      <c r="L358" s="339"/>
    </row>
    <row r="359" spans="11:12" x14ac:dyDescent="0.3">
      <c r="K359" s="339"/>
      <c r="L359" s="339"/>
    </row>
    <row r="360" spans="11:12" x14ac:dyDescent="0.3">
      <c r="K360" s="339"/>
      <c r="L360" s="339"/>
    </row>
    <row r="361" spans="11:12" x14ac:dyDescent="0.3">
      <c r="K361" s="339"/>
      <c r="L361" s="339"/>
    </row>
    <row r="362" spans="11:12" x14ac:dyDescent="0.3">
      <c r="K362" s="339"/>
      <c r="L362" s="339"/>
    </row>
    <row r="363" spans="11:12" x14ac:dyDescent="0.3">
      <c r="K363" s="339"/>
      <c r="L363" s="339"/>
    </row>
    <row r="364" spans="11:12" x14ac:dyDescent="0.3">
      <c r="K364" s="339"/>
      <c r="L364" s="339"/>
    </row>
    <row r="365" spans="11:12" x14ac:dyDescent="0.3">
      <c r="K365" s="339"/>
      <c r="L365" s="339"/>
    </row>
    <row r="366" spans="11:12" x14ac:dyDescent="0.3">
      <c r="K366" s="339"/>
      <c r="L366" s="339"/>
    </row>
    <row r="367" spans="11:12" x14ac:dyDescent="0.3">
      <c r="K367" s="339"/>
      <c r="L367" s="339"/>
    </row>
    <row r="368" spans="11:12" x14ac:dyDescent="0.3">
      <c r="K368" s="339"/>
      <c r="L368" s="339"/>
    </row>
    <row r="369" spans="11:12" x14ac:dyDescent="0.3">
      <c r="K369" s="339"/>
      <c r="L369" s="339"/>
    </row>
    <row r="370" spans="11:12" x14ac:dyDescent="0.3">
      <c r="K370" s="339"/>
      <c r="L370" s="339"/>
    </row>
    <row r="371" spans="11:12" x14ac:dyDescent="0.3">
      <c r="K371" s="339"/>
      <c r="L371" s="339"/>
    </row>
    <row r="372" spans="11:12" x14ac:dyDescent="0.3">
      <c r="K372" s="339"/>
      <c r="L372" s="339"/>
    </row>
    <row r="373" spans="11:12" x14ac:dyDescent="0.3">
      <c r="K373" s="339"/>
      <c r="L373" s="339"/>
    </row>
    <row r="374" spans="11:12" x14ac:dyDescent="0.3">
      <c r="K374" s="339"/>
      <c r="L374" s="339"/>
    </row>
    <row r="375" spans="11:12" x14ac:dyDescent="0.3">
      <c r="K375" s="339"/>
      <c r="L375" s="339"/>
    </row>
    <row r="376" spans="11:12" x14ac:dyDescent="0.3">
      <c r="K376" s="339"/>
      <c r="L376" s="339"/>
    </row>
    <row r="377" spans="11:12" x14ac:dyDescent="0.3">
      <c r="K377" s="339"/>
      <c r="L377" s="339"/>
    </row>
    <row r="378" spans="11:12" x14ac:dyDescent="0.3">
      <c r="K378" s="339"/>
      <c r="L378" s="339"/>
    </row>
    <row r="379" spans="11:12" x14ac:dyDescent="0.3">
      <c r="K379" s="339"/>
      <c r="L379" s="339"/>
    </row>
    <row r="380" spans="11:12" x14ac:dyDescent="0.3">
      <c r="K380" s="339"/>
      <c r="L380" s="339"/>
    </row>
    <row r="381" spans="11:12" x14ac:dyDescent="0.3">
      <c r="K381" s="339"/>
      <c r="L381" s="339"/>
    </row>
  </sheetData>
  <mergeCells count="17">
    <mergeCell ref="A37:A38"/>
    <mergeCell ref="B37:D37"/>
    <mergeCell ref="E37:G37"/>
    <mergeCell ref="A152:A153"/>
    <mergeCell ref="B152:D152"/>
    <mergeCell ref="E152:G152"/>
    <mergeCell ref="A74:A75"/>
    <mergeCell ref="B74:D74"/>
    <mergeCell ref="E74:G74"/>
    <mergeCell ref="A115:A116"/>
    <mergeCell ref="B115:D115"/>
    <mergeCell ref="E115:G115"/>
    <mergeCell ref="A3:A4"/>
    <mergeCell ref="B3:D3"/>
    <mergeCell ref="E3:G3"/>
    <mergeCell ref="I3:I4"/>
    <mergeCell ref="J3:L3"/>
  </mergeCells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0000"/>
  </sheetPr>
  <dimension ref="A1:T381"/>
  <sheetViews>
    <sheetView zoomScaleNormal="100" workbookViewId="0">
      <selection activeCell="G96" sqref="G96"/>
    </sheetView>
  </sheetViews>
  <sheetFormatPr defaultColWidth="9.140625" defaultRowHeight="18.75" x14ac:dyDescent="0.3"/>
  <cols>
    <col min="1" max="1" width="22.5703125" style="395" customWidth="1"/>
    <col min="2" max="2" width="10" style="414" customWidth="1"/>
    <col min="3" max="3" width="10.140625" style="722" customWidth="1"/>
    <col min="4" max="4" width="9" style="730" customWidth="1"/>
    <col min="5" max="5" width="12" style="339" customWidth="1"/>
    <col min="6" max="6" width="13.85546875" style="722" customWidth="1"/>
    <col min="7" max="7" width="10.85546875" style="730" customWidth="1"/>
    <col min="8" max="8" width="11" style="395" bestFit="1" customWidth="1"/>
    <col min="9" max="9" width="23.28515625" style="339" customWidth="1"/>
    <col min="10" max="10" width="11" style="339" customWidth="1"/>
    <col min="11" max="11" width="11.85546875" style="722" customWidth="1"/>
    <col min="12" max="12" width="11.28515625" style="730" customWidth="1"/>
    <col min="13" max="14" width="10.42578125" style="395" customWidth="1"/>
    <col min="15" max="15" width="9.140625" style="395"/>
    <col min="16" max="16" width="19.140625" style="395" customWidth="1"/>
    <col min="17" max="16384" width="9.140625" style="395"/>
  </cols>
  <sheetData>
    <row r="1" spans="1:20" x14ac:dyDescent="0.3">
      <c r="A1" s="415" t="s">
        <v>813</v>
      </c>
      <c r="K1" s="339"/>
      <c r="L1" s="382"/>
      <c r="N1" s="416"/>
      <c r="Q1" s="472"/>
      <c r="R1" s="472"/>
      <c r="S1" s="473"/>
      <c r="T1" s="474"/>
    </row>
    <row r="2" spans="1:20" x14ac:dyDescent="0.3">
      <c r="K2" s="339"/>
      <c r="L2" s="339"/>
      <c r="N2" s="395" t="s">
        <v>284</v>
      </c>
      <c r="P2" s="395">
        <v>18766300</v>
      </c>
      <c r="Q2" s="472"/>
      <c r="R2" s="472"/>
      <c r="S2" s="476"/>
      <c r="T2" s="472"/>
    </row>
    <row r="3" spans="1:20" ht="24.95" customHeight="1" x14ac:dyDescent="0.3">
      <c r="A3" s="3513" t="s">
        <v>0</v>
      </c>
      <c r="B3" s="3519" t="s">
        <v>6</v>
      </c>
      <c r="C3" s="3519"/>
      <c r="D3" s="3519"/>
      <c r="E3" s="3520" t="s">
        <v>2</v>
      </c>
      <c r="F3" s="3520"/>
      <c r="G3" s="3520"/>
      <c r="I3" s="3516" t="s">
        <v>0</v>
      </c>
      <c r="J3" s="3520" t="s">
        <v>28</v>
      </c>
      <c r="K3" s="3520"/>
      <c r="L3" s="3520"/>
      <c r="N3" s="417" t="s">
        <v>304</v>
      </c>
      <c r="Q3" s="472"/>
      <c r="R3" s="472"/>
      <c r="S3" s="472"/>
      <c r="T3" s="472"/>
    </row>
    <row r="4" spans="1:20" ht="24.95" customHeight="1" x14ac:dyDescent="0.3">
      <c r="A4" s="3514"/>
      <c r="B4" s="418" t="s">
        <v>28</v>
      </c>
      <c r="C4" s="723" t="s">
        <v>34</v>
      </c>
      <c r="D4" s="731" t="s">
        <v>62</v>
      </c>
      <c r="E4" s="380" t="s">
        <v>28</v>
      </c>
      <c r="F4" s="723" t="s">
        <v>34</v>
      </c>
      <c r="G4" s="731" t="s">
        <v>62</v>
      </c>
      <c r="I4" s="3517"/>
      <c r="J4" s="380" t="s">
        <v>28</v>
      </c>
      <c r="K4" s="723" t="s">
        <v>34</v>
      </c>
      <c r="L4" s="731" t="s">
        <v>62</v>
      </c>
    </row>
    <row r="5" spans="1:20" ht="24.95" customHeight="1" thickBot="1" x14ac:dyDescent="0.35">
      <c r="A5" s="419" t="s">
        <v>28</v>
      </c>
      <c r="B5" s="420">
        <f t="shared" ref="B5:G5" si="0">SUM(B6+B10+B20)</f>
        <v>0</v>
      </c>
      <c r="C5" s="724">
        <f t="shared" si="0"/>
        <v>0</v>
      </c>
      <c r="D5" s="732">
        <f t="shared" si="0"/>
        <v>0</v>
      </c>
      <c r="E5" s="367">
        <f t="shared" si="0"/>
        <v>0</v>
      </c>
      <c r="F5" s="724">
        <f t="shared" si="0"/>
        <v>0</v>
      </c>
      <c r="G5" s="732">
        <f t="shared" si="0"/>
        <v>0</v>
      </c>
      <c r="I5" s="525" t="s">
        <v>28</v>
      </c>
      <c r="J5" s="367">
        <f>SUM(K5:L5)</f>
        <v>0</v>
      </c>
      <c r="K5" s="724">
        <f>+F76</f>
        <v>0</v>
      </c>
      <c r="L5" s="732">
        <f>+G76</f>
        <v>0</v>
      </c>
    </row>
    <row r="6" spans="1:20" s="415" customFormat="1" ht="24.95" customHeight="1" thickTop="1" x14ac:dyDescent="0.3">
      <c r="A6" s="369" t="s">
        <v>7</v>
      </c>
      <c r="B6" s="421">
        <f t="shared" ref="B6:G6" si="1">SUM(B7:B8)</f>
        <v>0</v>
      </c>
      <c r="C6" s="725">
        <f t="shared" si="1"/>
        <v>0</v>
      </c>
      <c r="D6" s="733">
        <f t="shared" si="1"/>
        <v>0</v>
      </c>
      <c r="E6" s="370">
        <f t="shared" si="1"/>
        <v>0</v>
      </c>
      <c r="F6" s="725">
        <f t="shared" si="1"/>
        <v>0</v>
      </c>
      <c r="G6" s="733">
        <f t="shared" si="1"/>
        <v>0</v>
      </c>
      <c r="I6" s="369" t="s">
        <v>7</v>
      </c>
      <c r="J6" s="370">
        <f>SUM(K6:L6)</f>
        <v>0</v>
      </c>
      <c r="K6" s="725">
        <f>SUM(K7:K8)</f>
        <v>0</v>
      </c>
      <c r="L6" s="733">
        <f>SUM(L7:L8)</f>
        <v>0</v>
      </c>
    </row>
    <row r="7" spans="1:20" ht="24.95" customHeight="1" x14ac:dyDescent="0.3">
      <c r="A7" s="398" t="s">
        <v>8</v>
      </c>
      <c r="B7" s="422">
        <f>SUM(C7:D7)</f>
        <v>0</v>
      </c>
      <c r="C7" s="726">
        <f>+'[27]16.โครงการ'!$BB$4</f>
        <v>0</v>
      </c>
      <c r="D7" s="734">
        <f>+'[27]16.โครงการ'!$BC$4</f>
        <v>0</v>
      </c>
      <c r="E7" s="372">
        <f>SUM(F7:G7)</f>
        <v>0</v>
      </c>
      <c r="F7" s="726">
        <f>+'[28]16.โครงการ'!$BB$4</f>
        <v>0</v>
      </c>
      <c r="G7" s="734">
        <f>+'[28]16.โครงการ'!$BC$4</f>
        <v>0</v>
      </c>
      <c r="I7" s="398" t="s">
        <v>8</v>
      </c>
      <c r="J7" s="372">
        <f>SUM(K7:L7)</f>
        <v>0</v>
      </c>
      <c r="K7" s="726">
        <f>+C7+F7+C41+F41+C78+F78+C119+F119+C156+F156</f>
        <v>0</v>
      </c>
      <c r="L7" s="734">
        <f>+D7+G7+D41+G41+D78+G78+D119+G119+D156+G156</f>
        <v>0</v>
      </c>
    </row>
    <row r="8" spans="1:20" ht="24.95" customHeight="1" x14ac:dyDescent="0.3">
      <c r="A8" s="398" t="s">
        <v>306</v>
      </c>
      <c r="B8" s="422">
        <f>SUM(C8:D8)</f>
        <v>0</v>
      </c>
      <c r="C8" s="726">
        <f>+'[27]16.โครงการ'!$BB$36</f>
        <v>0</v>
      </c>
      <c r="D8" s="734">
        <f>+'[27]16.โครงการ'!$BC$36</f>
        <v>0</v>
      </c>
      <c r="E8" s="372">
        <f>SUM(F8:G8)</f>
        <v>0</v>
      </c>
      <c r="F8" s="726">
        <f>+'[28]16.โครงการ'!$BB$36</f>
        <v>0</v>
      </c>
      <c r="G8" s="734">
        <f>+'[28]16.โครงการ'!$BC$36</f>
        <v>0</v>
      </c>
      <c r="I8" s="398" t="s">
        <v>306</v>
      </c>
      <c r="J8" s="372">
        <f>SUM(K8:L8)</f>
        <v>0</v>
      </c>
      <c r="K8" s="726">
        <f>+C8+F8+C42+F42+C79+F79+C120+F120+C157+F157</f>
        <v>0</v>
      </c>
      <c r="L8" s="734">
        <f>+D8+G8+D42+G42+D79+G79+D120+G120+D157+G157</f>
        <v>0</v>
      </c>
    </row>
    <row r="9" spans="1:20" ht="24.95" customHeight="1" x14ac:dyDescent="0.3">
      <c r="A9" s="372"/>
      <c r="B9" s="422"/>
      <c r="C9" s="726"/>
      <c r="D9" s="734"/>
      <c r="E9" s="372"/>
      <c r="F9" s="726"/>
      <c r="G9" s="734"/>
      <c r="I9" s="372"/>
      <c r="J9" s="372"/>
      <c r="K9" s="726"/>
      <c r="L9" s="734"/>
    </row>
    <row r="10" spans="1:20" s="415" customFormat="1" ht="24.95" customHeight="1" x14ac:dyDescent="0.3">
      <c r="A10" s="526" t="s">
        <v>9</v>
      </c>
      <c r="B10" s="423">
        <f>SUM(B11:B19)</f>
        <v>0</v>
      </c>
      <c r="C10" s="727">
        <f>SUM(C11:C19)</f>
        <v>0</v>
      </c>
      <c r="D10" s="735">
        <f>SUM(D11:D19)</f>
        <v>0</v>
      </c>
      <c r="E10" s="375">
        <f>SUM(E11:E19)</f>
        <v>0</v>
      </c>
      <c r="F10" s="727">
        <f>SUM(F11:F19)</f>
        <v>0</v>
      </c>
      <c r="G10" s="735">
        <f>SUM(G11:G16)</f>
        <v>0</v>
      </c>
      <c r="I10" s="526" t="s">
        <v>9</v>
      </c>
      <c r="J10" s="375">
        <f>SUM(K10:L10)</f>
        <v>0</v>
      </c>
      <c r="K10" s="727">
        <f>SUM(K11:K18)</f>
        <v>0</v>
      </c>
      <c r="L10" s="735">
        <f>SUM(L11:L18)</f>
        <v>0</v>
      </c>
    </row>
    <row r="11" spans="1:20" ht="24.95" customHeight="1" x14ac:dyDescent="0.3">
      <c r="A11" s="372" t="s">
        <v>308</v>
      </c>
      <c r="B11" s="422">
        <f t="shared" ref="B11:B19" si="2">SUM(C11:D11)</f>
        <v>0</v>
      </c>
      <c r="C11" s="726">
        <f>+'[27]16.โครงการ'!$BB$69</f>
        <v>0</v>
      </c>
      <c r="D11" s="734">
        <f>+'[27]16.โครงการ'!$BC$69</f>
        <v>0</v>
      </c>
      <c r="E11" s="372">
        <f t="shared" ref="E11:E19" si="3">SUM(F11:G11)</f>
        <v>0</v>
      </c>
      <c r="F11" s="726">
        <f>+'[28]16.โครงการ'!$BB$69</f>
        <v>0</v>
      </c>
      <c r="G11" s="734">
        <f>+'[28]16.โครงการ'!$BC$69</f>
        <v>0</v>
      </c>
      <c r="I11" s="372" t="s">
        <v>308</v>
      </c>
      <c r="J11" s="372">
        <f t="shared" ref="J11:J16" si="4">SUM(K11:L11)</f>
        <v>0</v>
      </c>
      <c r="K11" s="726">
        <f>+C11+F11+C45+F45+C82+F82+C123+F123+C160+F160</f>
        <v>0</v>
      </c>
      <c r="L11" s="734">
        <f>+D11+G11+D45+G45+D82+G82+D123+G123+D160+G160</f>
        <v>0</v>
      </c>
    </row>
    <row r="12" spans="1:20" ht="24.95" customHeight="1" x14ac:dyDescent="0.3">
      <c r="A12" s="372" t="s">
        <v>309</v>
      </c>
      <c r="B12" s="422">
        <f t="shared" si="2"/>
        <v>0</v>
      </c>
      <c r="C12" s="726">
        <f>+'[27]16.โครงการ'!$BB$102</f>
        <v>0</v>
      </c>
      <c r="D12" s="734">
        <f>+'[27]16.โครงการ'!$BC$102</f>
        <v>0</v>
      </c>
      <c r="E12" s="372">
        <f t="shared" si="3"/>
        <v>0</v>
      </c>
      <c r="F12" s="726">
        <f>+'[28]16.โครงการ'!$BB$102</f>
        <v>0</v>
      </c>
      <c r="G12" s="734">
        <f>+'[28]16.โครงการ'!$BC$102</f>
        <v>0</v>
      </c>
      <c r="I12" s="372" t="s">
        <v>309</v>
      </c>
      <c r="J12" s="372">
        <f t="shared" si="4"/>
        <v>0</v>
      </c>
      <c r="K12" s="726">
        <f t="shared" ref="K12:L17" si="5">+C12+F12+C46+F46+C83+F83+C124+F124+C161+F161</f>
        <v>0</v>
      </c>
      <c r="L12" s="734">
        <f t="shared" si="5"/>
        <v>0</v>
      </c>
    </row>
    <row r="13" spans="1:20" ht="24.95" customHeight="1" x14ac:dyDescent="0.3">
      <c r="A13" s="372" t="s">
        <v>310</v>
      </c>
      <c r="B13" s="422">
        <f t="shared" si="2"/>
        <v>0</v>
      </c>
      <c r="C13" s="726">
        <f>+'[27]16.โครงการ'!$BB$135</f>
        <v>0</v>
      </c>
      <c r="D13" s="734">
        <f>+'[27]16.โครงการ'!$BC$135</f>
        <v>0</v>
      </c>
      <c r="E13" s="372">
        <f>SUM(F13:G13)</f>
        <v>0</v>
      </c>
      <c r="F13" s="726">
        <f>+'[28]16.โครงการ'!$BB$135</f>
        <v>0</v>
      </c>
      <c r="G13" s="734">
        <f>+'[28]16.โครงการ'!$BC$135</f>
        <v>0</v>
      </c>
      <c r="I13" s="372" t="s">
        <v>310</v>
      </c>
      <c r="J13" s="372">
        <f t="shared" si="4"/>
        <v>0</v>
      </c>
      <c r="K13" s="726">
        <f t="shared" si="5"/>
        <v>0</v>
      </c>
      <c r="L13" s="734">
        <f t="shared" si="5"/>
        <v>0</v>
      </c>
    </row>
    <row r="14" spans="1:20" ht="24.95" customHeight="1" x14ac:dyDescent="0.3">
      <c r="A14" s="372" t="s">
        <v>311</v>
      </c>
      <c r="B14" s="422">
        <f t="shared" si="2"/>
        <v>0</v>
      </c>
      <c r="C14" s="726">
        <f>+'[27]16.โครงการ'!$BB$168</f>
        <v>0</v>
      </c>
      <c r="D14" s="734">
        <f>+'[27]16.โครงการ'!$BC$168</f>
        <v>0</v>
      </c>
      <c r="E14" s="372">
        <f t="shared" si="3"/>
        <v>0</v>
      </c>
      <c r="F14" s="726">
        <f>+'[28]16.โครงการ'!$BB$168</f>
        <v>0</v>
      </c>
      <c r="G14" s="734">
        <f>+'[28]16.โครงการ'!$BC$168</f>
        <v>0</v>
      </c>
      <c r="I14" s="372" t="s">
        <v>311</v>
      </c>
      <c r="J14" s="372">
        <f t="shared" si="4"/>
        <v>0</v>
      </c>
      <c r="K14" s="726">
        <f t="shared" si="5"/>
        <v>0</v>
      </c>
      <c r="L14" s="734">
        <f t="shared" si="5"/>
        <v>0</v>
      </c>
    </row>
    <row r="15" spans="1:20" ht="24.95" customHeight="1" x14ac:dyDescent="0.3">
      <c r="A15" s="372" t="s">
        <v>312</v>
      </c>
      <c r="B15" s="422">
        <f t="shared" si="2"/>
        <v>0</v>
      </c>
      <c r="C15" s="726">
        <f>+'[27]16.โครงการ'!$BB$102</f>
        <v>0</v>
      </c>
      <c r="D15" s="734">
        <f>+'[27]16.โครงการ'!$BC$201</f>
        <v>0</v>
      </c>
      <c r="E15" s="372">
        <f>SUM(F15:G15)</f>
        <v>0</v>
      </c>
      <c r="F15" s="726">
        <f>+'[28]16.โครงการ'!$BB$201</f>
        <v>0</v>
      </c>
      <c r="G15" s="734">
        <f>+'[28]16.โครงการ'!$BC$201</f>
        <v>0</v>
      </c>
      <c r="I15" s="372" t="s">
        <v>312</v>
      </c>
      <c r="J15" s="372">
        <f t="shared" si="4"/>
        <v>0</v>
      </c>
      <c r="K15" s="726">
        <f t="shared" si="5"/>
        <v>0</v>
      </c>
      <c r="L15" s="734">
        <f t="shared" si="5"/>
        <v>0</v>
      </c>
    </row>
    <row r="16" spans="1:20" ht="24.95" customHeight="1" x14ac:dyDescent="0.3">
      <c r="A16" s="372" t="s">
        <v>313</v>
      </c>
      <c r="B16" s="422">
        <f t="shared" si="2"/>
        <v>0</v>
      </c>
      <c r="C16" s="726">
        <f>+'[27]16.โครงการ'!$BB$498</f>
        <v>0</v>
      </c>
      <c r="D16" s="734">
        <f>+'[27]16.โครงการ'!$BC$498</f>
        <v>0</v>
      </c>
      <c r="E16" s="372">
        <f t="shared" si="3"/>
        <v>0</v>
      </c>
      <c r="F16" s="726">
        <f>+'[28]16.โครงการ'!$BB$498</f>
        <v>0</v>
      </c>
      <c r="G16" s="734">
        <f>+'[28]16.โครงการ'!$BC$498</f>
        <v>0</v>
      </c>
      <c r="I16" s="372" t="s">
        <v>313</v>
      </c>
      <c r="J16" s="372">
        <f t="shared" si="4"/>
        <v>0</v>
      </c>
      <c r="K16" s="726">
        <f t="shared" si="5"/>
        <v>0</v>
      </c>
      <c r="L16" s="734">
        <f t="shared" si="5"/>
        <v>0</v>
      </c>
    </row>
    <row r="17" spans="1:12" ht="24.95" customHeight="1" x14ac:dyDescent="0.3">
      <c r="A17" s="372" t="s">
        <v>314</v>
      </c>
      <c r="B17" s="422">
        <f t="shared" si="2"/>
        <v>0</v>
      </c>
      <c r="C17" s="726">
        <f>+'[27]16.โครงการ'!$BB$531</f>
        <v>0</v>
      </c>
      <c r="D17" s="734">
        <f>+'[27]16.โครงการ'!$BC$531</f>
        <v>0</v>
      </c>
      <c r="E17" s="372">
        <f t="shared" si="3"/>
        <v>0</v>
      </c>
      <c r="F17" s="726">
        <f>+'[28]16.โครงการ'!$BB$531</f>
        <v>0</v>
      </c>
      <c r="G17" s="734">
        <f>+'[28]16.โครงการ'!$BC$531</f>
        <v>0</v>
      </c>
      <c r="I17" s="372" t="s">
        <v>314</v>
      </c>
      <c r="J17" s="372">
        <f>SUM(K17:L17)</f>
        <v>0</v>
      </c>
      <c r="K17" s="726">
        <f t="shared" si="5"/>
        <v>0</v>
      </c>
      <c r="L17" s="734">
        <f t="shared" si="5"/>
        <v>0</v>
      </c>
    </row>
    <row r="18" spans="1:12" ht="24.95" customHeight="1" x14ac:dyDescent="0.3">
      <c r="A18" s="372" t="s">
        <v>315</v>
      </c>
      <c r="B18" s="422">
        <f t="shared" si="2"/>
        <v>0</v>
      </c>
      <c r="C18" s="726">
        <f>+'[27]16.โครงการ'!$BB$564</f>
        <v>0</v>
      </c>
      <c r="D18" s="734">
        <f>+'[27]16.โครงการ'!$BC$564</f>
        <v>0</v>
      </c>
      <c r="E18" s="372">
        <f t="shared" si="3"/>
        <v>0</v>
      </c>
      <c r="F18" s="726">
        <f>+'[28]16.โครงการ'!$BB$564</f>
        <v>0</v>
      </c>
      <c r="G18" s="734">
        <f>+'[28]16.โครงการ'!$BC$564</f>
        <v>0</v>
      </c>
      <c r="I18" s="372" t="s">
        <v>315</v>
      </c>
      <c r="J18" s="372">
        <f>SUM(K18:L18)</f>
        <v>0</v>
      </c>
      <c r="K18" s="726">
        <f>+C18+F18+C52+F52+C89+F89+C130+F130+C167+F167</f>
        <v>0</v>
      </c>
      <c r="L18" s="734">
        <f>+D18+G18+D52+G52+D89+G89+D130+G130+D167+G167</f>
        <v>0</v>
      </c>
    </row>
    <row r="19" spans="1:12" ht="24.95" customHeight="1" x14ac:dyDescent="0.3">
      <c r="A19" s="372" t="s">
        <v>390</v>
      </c>
      <c r="B19" s="422">
        <f t="shared" si="2"/>
        <v>0</v>
      </c>
      <c r="C19" s="726">
        <f>+'[27]16.โครงการ'!$BB$595</f>
        <v>0</v>
      </c>
      <c r="D19" s="734">
        <f>+'[27]16.โครงการ'!$BC$595</f>
        <v>0</v>
      </c>
      <c r="E19" s="372">
        <f t="shared" si="3"/>
        <v>0</v>
      </c>
      <c r="F19" s="726">
        <f>+'[28]16.โครงการ'!$BB$595</f>
        <v>0</v>
      </c>
      <c r="G19" s="734">
        <f>+'[28]16.โครงการ'!$BC$595</f>
        <v>0</v>
      </c>
      <c r="I19" s="372" t="s">
        <v>390</v>
      </c>
      <c r="J19" s="372"/>
      <c r="K19" s="726"/>
      <c r="L19" s="734"/>
    </row>
    <row r="20" spans="1:12" s="415" customFormat="1" ht="24.95" customHeight="1" x14ac:dyDescent="0.3">
      <c r="A20" s="526" t="s">
        <v>12</v>
      </c>
      <c r="B20" s="423">
        <f t="shared" ref="B20:G20" si="6">SUM(B21:B24)</f>
        <v>0</v>
      </c>
      <c r="C20" s="727">
        <f t="shared" si="6"/>
        <v>0</v>
      </c>
      <c r="D20" s="735">
        <f t="shared" si="6"/>
        <v>0</v>
      </c>
      <c r="E20" s="375">
        <f t="shared" si="6"/>
        <v>0</v>
      </c>
      <c r="F20" s="727">
        <f t="shared" si="6"/>
        <v>0</v>
      </c>
      <c r="G20" s="735">
        <f t="shared" si="6"/>
        <v>0</v>
      </c>
      <c r="I20" s="526" t="s">
        <v>12</v>
      </c>
      <c r="J20" s="375">
        <f>SUM(K20:L20)</f>
        <v>0</v>
      </c>
      <c r="K20" s="727">
        <f>SUM(K21:K24)</f>
        <v>0</v>
      </c>
      <c r="L20" s="735">
        <f>SUM(L21:L24)</f>
        <v>0</v>
      </c>
    </row>
    <row r="21" spans="1:12" ht="24.95" customHeight="1" x14ac:dyDescent="0.3">
      <c r="A21" s="372" t="s">
        <v>391</v>
      </c>
      <c r="B21" s="422">
        <f>SUM(C21:D21)</f>
        <v>0</v>
      </c>
      <c r="C21" s="726">
        <f>+'[27]16.โครงการ'!$BB$634</f>
        <v>0</v>
      </c>
      <c r="D21" s="734">
        <f>+'[27]16.โครงการ'!$BC$634</f>
        <v>0</v>
      </c>
      <c r="E21" s="372">
        <f>SUM(F21:G21)</f>
        <v>0</v>
      </c>
      <c r="F21" s="726">
        <f>+'[28]16.โครงการ'!$BB$634</f>
        <v>0</v>
      </c>
      <c r="G21" s="734">
        <f>+'[28]16.โครงการ'!$BC$634</f>
        <v>0</v>
      </c>
      <c r="I21" s="372" t="s">
        <v>391</v>
      </c>
      <c r="J21" s="372">
        <f>SUM(K21:L21)</f>
        <v>0</v>
      </c>
      <c r="K21" s="726">
        <f t="shared" ref="K21:L24" si="7">+C21+F21+C55+F55+C92+F92+C133+F133+C170+F170</f>
        <v>0</v>
      </c>
      <c r="L21" s="734">
        <f t="shared" si="7"/>
        <v>0</v>
      </c>
    </row>
    <row r="22" spans="1:12" ht="24.95" customHeight="1" x14ac:dyDescent="0.3">
      <c r="A22" s="372" t="s">
        <v>392</v>
      </c>
      <c r="B22" s="422">
        <f>SUM(C22:D22)</f>
        <v>0</v>
      </c>
      <c r="C22" s="726">
        <f>+'[27]16.โครงการ'!$BB$667</f>
        <v>0</v>
      </c>
      <c r="D22" s="734">
        <f>+'[27]16.โครงการ'!$BC$667</f>
        <v>0</v>
      </c>
      <c r="E22" s="372">
        <f>SUM(F22:G22)</f>
        <v>0</v>
      </c>
      <c r="F22" s="726">
        <f>+'[28]16.โครงการ'!$BB$667</f>
        <v>0</v>
      </c>
      <c r="G22" s="734">
        <f>+'[28]16.โครงการ'!$BC$667</f>
        <v>0</v>
      </c>
      <c r="I22" s="372" t="s">
        <v>392</v>
      </c>
      <c r="J22" s="372">
        <f>SUM(K22:L22)</f>
        <v>0</v>
      </c>
      <c r="K22" s="726">
        <f t="shared" si="7"/>
        <v>0</v>
      </c>
      <c r="L22" s="734">
        <f t="shared" si="7"/>
        <v>0</v>
      </c>
    </row>
    <row r="23" spans="1:12" ht="24.95" customHeight="1" x14ac:dyDescent="0.3">
      <c r="A23" s="372" t="s">
        <v>393</v>
      </c>
      <c r="B23" s="422">
        <f>SUM(C23:D23)</f>
        <v>0</v>
      </c>
      <c r="C23" s="726">
        <f>+'[27]16.โครงการ'!$BB$700</f>
        <v>0</v>
      </c>
      <c r="D23" s="734">
        <f>+'[27]16.โครงการ'!$BC$700</f>
        <v>0</v>
      </c>
      <c r="E23" s="372">
        <f>SUM(F23:G23)</f>
        <v>0</v>
      </c>
      <c r="F23" s="726">
        <f>+'[28]16.โครงการ'!$BB$700</f>
        <v>0</v>
      </c>
      <c r="G23" s="734">
        <f>+'[28]16.โครงการ'!$BC$700</f>
        <v>0</v>
      </c>
      <c r="I23" s="372" t="s">
        <v>393</v>
      </c>
      <c r="J23" s="372">
        <f>SUM(K23:L23)</f>
        <v>0</v>
      </c>
      <c r="K23" s="726">
        <f t="shared" si="7"/>
        <v>0</v>
      </c>
      <c r="L23" s="734">
        <f t="shared" si="7"/>
        <v>0</v>
      </c>
    </row>
    <row r="24" spans="1:12" ht="24.95" customHeight="1" x14ac:dyDescent="0.3">
      <c r="A24" s="372" t="s">
        <v>394</v>
      </c>
      <c r="B24" s="422">
        <f>SUM(C24:D24)</f>
        <v>0</v>
      </c>
      <c r="C24" s="726">
        <f>+'[27]16.โครงการ'!$BB$733</f>
        <v>0</v>
      </c>
      <c r="D24" s="734">
        <f>+'[27]16.โครงการ'!$BC$733</f>
        <v>0</v>
      </c>
      <c r="E24" s="372">
        <f>SUM(F24:G24)</f>
        <v>0</v>
      </c>
      <c r="F24" s="726">
        <f>+'[28]16.โครงการ'!$BB$733</f>
        <v>0</v>
      </c>
      <c r="G24" s="734">
        <f>+'[28]16.โครงการ'!$BC$733</f>
        <v>0</v>
      </c>
      <c r="I24" s="372" t="s">
        <v>394</v>
      </c>
      <c r="J24" s="372">
        <f>SUM(K24:L24)</f>
        <v>0</v>
      </c>
      <c r="K24" s="726">
        <f t="shared" si="7"/>
        <v>0</v>
      </c>
      <c r="L24" s="734">
        <f t="shared" si="7"/>
        <v>0</v>
      </c>
    </row>
    <row r="25" spans="1:12" ht="24.95" customHeight="1" x14ac:dyDescent="0.3">
      <c r="A25" s="413"/>
      <c r="B25" s="424"/>
      <c r="C25" s="728"/>
      <c r="D25" s="736"/>
      <c r="E25" s="377"/>
      <c r="F25" s="728"/>
      <c r="G25" s="736"/>
      <c r="I25" s="377"/>
      <c r="J25" s="377"/>
      <c r="K25" s="728"/>
      <c r="L25" s="736"/>
    </row>
    <row r="26" spans="1:12" x14ac:dyDescent="0.3">
      <c r="K26" s="339"/>
      <c r="L26" s="339"/>
    </row>
    <row r="27" spans="1:12" x14ac:dyDescent="0.3">
      <c r="K27" s="339"/>
      <c r="L27" s="339"/>
    </row>
    <row r="28" spans="1:12" x14ac:dyDescent="0.3">
      <c r="K28" s="339"/>
      <c r="L28" s="339"/>
    </row>
    <row r="29" spans="1:12" x14ac:dyDescent="0.3">
      <c r="K29" s="339"/>
      <c r="L29" s="339"/>
    </row>
    <row r="30" spans="1:12" x14ac:dyDescent="0.3">
      <c r="K30" s="339"/>
      <c r="L30" s="339"/>
    </row>
    <row r="31" spans="1:12" x14ac:dyDescent="0.3">
      <c r="K31" s="339"/>
      <c r="L31" s="339"/>
    </row>
    <row r="32" spans="1:12" x14ac:dyDescent="0.3">
      <c r="K32" s="339"/>
      <c r="L32" s="339"/>
    </row>
    <row r="33" spans="1:12" x14ac:dyDescent="0.3">
      <c r="K33" s="339"/>
      <c r="L33" s="339"/>
    </row>
    <row r="34" spans="1:12" x14ac:dyDescent="0.3">
      <c r="K34" s="339"/>
      <c r="L34" s="339"/>
    </row>
    <row r="35" spans="1:12" x14ac:dyDescent="0.3">
      <c r="K35" s="339"/>
      <c r="L35" s="339"/>
    </row>
    <row r="36" spans="1:12" x14ac:dyDescent="0.3">
      <c r="K36" s="339"/>
      <c r="L36" s="339"/>
    </row>
    <row r="37" spans="1:12" x14ac:dyDescent="0.3">
      <c r="A37" s="3513" t="s">
        <v>0</v>
      </c>
      <c r="B37" s="3519" t="s">
        <v>1</v>
      </c>
      <c r="C37" s="3519"/>
      <c r="D37" s="3519"/>
      <c r="E37" s="3520" t="s">
        <v>3</v>
      </c>
      <c r="F37" s="3520"/>
      <c r="G37" s="3520"/>
      <c r="K37" s="339"/>
      <c r="L37" s="339"/>
    </row>
    <row r="38" spans="1:12" x14ac:dyDescent="0.3">
      <c r="A38" s="3514"/>
      <c r="B38" s="418" t="s">
        <v>28</v>
      </c>
      <c r="C38" s="723" t="s">
        <v>34</v>
      </c>
      <c r="D38" s="731" t="s">
        <v>62</v>
      </c>
      <c r="E38" s="380" t="s">
        <v>28</v>
      </c>
      <c r="F38" s="723" t="s">
        <v>34</v>
      </c>
      <c r="G38" s="731" t="s">
        <v>62</v>
      </c>
      <c r="K38" s="339"/>
      <c r="L38" s="339"/>
    </row>
    <row r="39" spans="1:12" ht="19.5" thickBot="1" x14ac:dyDescent="0.35">
      <c r="A39" s="419" t="s">
        <v>28</v>
      </c>
      <c r="B39" s="420">
        <f t="shared" ref="B39:G39" si="8">SUM(B40+B44+B54)</f>
        <v>0</v>
      </c>
      <c r="C39" s="724">
        <f t="shared" si="8"/>
        <v>0</v>
      </c>
      <c r="D39" s="737">
        <f t="shared" si="8"/>
        <v>0</v>
      </c>
      <c r="E39" s="367">
        <f t="shared" si="8"/>
        <v>0</v>
      </c>
      <c r="F39" s="724">
        <f t="shared" si="8"/>
        <v>0</v>
      </c>
      <c r="G39" s="732">
        <f t="shared" si="8"/>
        <v>0</v>
      </c>
      <c r="K39" s="339"/>
      <c r="L39" s="339"/>
    </row>
    <row r="40" spans="1:12" ht="19.5" thickTop="1" x14ac:dyDescent="0.3">
      <c r="A40" s="369" t="s">
        <v>7</v>
      </c>
      <c r="B40" s="421">
        <f t="shared" ref="B40:G40" si="9">SUM(B41:B42)</f>
        <v>0</v>
      </c>
      <c r="C40" s="725">
        <f t="shared" si="9"/>
        <v>0</v>
      </c>
      <c r="D40" s="733">
        <f t="shared" si="9"/>
        <v>0</v>
      </c>
      <c r="E40" s="370">
        <f t="shared" si="9"/>
        <v>0</v>
      </c>
      <c r="F40" s="725">
        <f t="shared" si="9"/>
        <v>0</v>
      </c>
      <c r="G40" s="733">
        <f t="shared" si="9"/>
        <v>0</v>
      </c>
      <c r="K40" s="339"/>
      <c r="L40" s="339"/>
    </row>
    <row r="41" spans="1:12" x14ac:dyDescent="0.3">
      <c r="A41" s="398" t="s">
        <v>8</v>
      </c>
      <c r="B41" s="422">
        <f>SUM(C41:D41)</f>
        <v>0</v>
      </c>
      <c r="C41" s="726"/>
      <c r="D41" s="734"/>
      <c r="E41" s="372">
        <f>SUM(F41:G41)</f>
        <v>0</v>
      </c>
      <c r="F41" s="726"/>
      <c r="G41" s="734"/>
      <c r="K41" s="339"/>
      <c r="L41" s="339"/>
    </row>
    <row r="42" spans="1:12" x14ac:dyDescent="0.3">
      <c r="A42" s="398" t="s">
        <v>306</v>
      </c>
      <c r="B42" s="422">
        <f>SUM(C42:D42)</f>
        <v>0</v>
      </c>
      <c r="C42" s="726"/>
      <c r="D42" s="734"/>
      <c r="E42" s="372">
        <f>SUM(F42:G42)</f>
        <v>0</v>
      </c>
      <c r="F42" s="726"/>
      <c r="G42" s="734"/>
      <c r="K42" s="339"/>
      <c r="L42" s="339"/>
    </row>
    <row r="43" spans="1:12" x14ac:dyDescent="0.3">
      <c r="A43" s="372"/>
      <c r="B43" s="422"/>
      <c r="C43" s="726"/>
      <c r="D43" s="734"/>
      <c r="E43" s="372"/>
      <c r="F43" s="726"/>
      <c r="G43" s="734"/>
      <c r="K43" s="339"/>
      <c r="L43" s="339"/>
    </row>
    <row r="44" spans="1:12" x14ac:dyDescent="0.3">
      <c r="A44" s="526" t="s">
        <v>9</v>
      </c>
      <c r="B44" s="423">
        <f t="shared" ref="B44:G44" si="10">SUM(B45:B50)</f>
        <v>0</v>
      </c>
      <c r="C44" s="727">
        <f t="shared" si="10"/>
        <v>0</v>
      </c>
      <c r="D44" s="735">
        <f t="shared" si="10"/>
        <v>0</v>
      </c>
      <c r="E44" s="375">
        <f t="shared" si="10"/>
        <v>0</v>
      </c>
      <c r="F44" s="727">
        <f t="shared" si="10"/>
        <v>0</v>
      </c>
      <c r="G44" s="735">
        <f t="shared" si="10"/>
        <v>0</v>
      </c>
      <c r="K44" s="339"/>
      <c r="L44" s="339"/>
    </row>
    <row r="45" spans="1:12" x14ac:dyDescent="0.3">
      <c r="A45" s="372" t="s">
        <v>308</v>
      </c>
      <c r="B45" s="422">
        <f t="shared" ref="B45:B50" si="11">SUM(C45:D45)</f>
        <v>0</v>
      </c>
      <c r="C45" s="726"/>
      <c r="D45" s="734"/>
      <c r="E45" s="372">
        <f t="shared" ref="E45:E50" si="12">SUM(F45:G45)</f>
        <v>0</v>
      </c>
      <c r="F45" s="726"/>
      <c r="G45" s="734"/>
      <c r="K45" s="339"/>
      <c r="L45" s="339"/>
    </row>
    <row r="46" spans="1:12" x14ac:dyDescent="0.3">
      <c r="A46" s="372" t="s">
        <v>309</v>
      </c>
      <c r="B46" s="422">
        <f t="shared" si="11"/>
        <v>0</v>
      </c>
      <c r="C46" s="726"/>
      <c r="D46" s="734"/>
      <c r="E46" s="372">
        <f t="shared" si="12"/>
        <v>0</v>
      </c>
      <c r="F46" s="726"/>
      <c r="G46" s="734"/>
      <c r="K46" s="339"/>
      <c r="L46" s="339"/>
    </row>
    <row r="47" spans="1:12" x14ac:dyDescent="0.3">
      <c r="A47" s="372" t="s">
        <v>310</v>
      </c>
      <c r="B47" s="422">
        <f t="shared" si="11"/>
        <v>0</v>
      </c>
      <c r="C47" s="726"/>
      <c r="D47" s="734"/>
      <c r="E47" s="372">
        <f t="shared" si="12"/>
        <v>0</v>
      </c>
      <c r="F47" s="726"/>
      <c r="G47" s="734"/>
      <c r="K47" s="339"/>
      <c r="L47" s="339"/>
    </row>
    <row r="48" spans="1:12" x14ac:dyDescent="0.3">
      <c r="A48" s="372" t="s">
        <v>311</v>
      </c>
      <c r="B48" s="422">
        <f t="shared" si="11"/>
        <v>0</v>
      </c>
      <c r="C48" s="726"/>
      <c r="D48" s="734"/>
      <c r="E48" s="372">
        <f t="shared" si="12"/>
        <v>0</v>
      </c>
      <c r="F48" s="726"/>
      <c r="G48" s="734"/>
      <c r="K48" s="339"/>
      <c r="L48" s="339"/>
    </row>
    <row r="49" spans="1:12" x14ac:dyDescent="0.3">
      <c r="A49" s="372" t="s">
        <v>312</v>
      </c>
      <c r="B49" s="422">
        <f t="shared" si="11"/>
        <v>0</v>
      </c>
      <c r="C49" s="726"/>
      <c r="D49" s="734"/>
      <c r="E49" s="372">
        <f t="shared" si="12"/>
        <v>0</v>
      </c>
      <c r="F49" s="726"/>
      <c r="G49" s="734"/>
      <c r="K49" s="339"/>
      <c r="L49" s="339"/>
    </row>
    <row r="50" spans="1:12" x14ac:dyDescent="0.3">
      <c r="A50" s="372" t="s">
        <v>313</v>
      </c>
      <c r="B50" s="422">
        <f t="shared" si="11"/>
        <v>0</v>
      </c>
      <c r="C50" s="726"/>
      <c r="D50" s="734"/>
      <c r="E50" s="372">
        <f t="shared" si="12"/>
        <v>0</v>
      </c>
      <c r="F50" s="726"/>
      <c r="G50" s="734"/>
      <c r="K50" s="339"/>
      <c r="L50" s="339"/>
    </row>
    <row r="51" spans="1:12" x14ac:dyDescent="0.3">
      <c r="A51" s="372" t="s">
        <v>314</v>
      </c>
      <c r="B51" s="422"/>
      <c r="C51" s="726"/>
      <c r="D51" s="734"/>
      <c r="E51" s="372"/>
      <c r="F51" s="726"/>
      <c r="G51" s="734"/>
      <c r="K51" s="339"/>
      <c r="L51" s="339"/>
    </row>
    <row r="52" spans="1:12" x14ac:dyDescent="0.3">
      <c r="A52" s="372" t="s">
        <v>315</v>
      </c>
      <c r="B52" s="422"/>
      <c r="C52" s="726"/>
      <c r="D52" s="734"/>
      <c r="E52" s="372"/>
      <c r="F52" s="726"/>
      <c r="G52" s="734"/>
      <c r="K52" s="339"/>
      <c r="L52" s="339"/>
    </row>
    <row r="53" spans="1:12" x14ac:dyDescent="0.3">
      <c r="A53" s="372" t="s">
        <v>390</v>
      </c>
      <c r="B53" s="422"/>
      <c r="C53" s="726"/>
      <c r="D53" s="734"/>
      <c r="E53" s="372"/>
      <c r="F53" s="726"/>
      <c r="G53" s="734"/>
      <c r="K53" s="339"/>
      <c r="L53" s="339"/>
    </row>
    <row r="54" spans="1:12" x14ac:dyDescent="0.3">
      <c r="A54" s="526" t="s">
        <v>12</v>
      </c>
      <c r="B54" s="423">
        <f t="shared" ref="B54:G54" si="13">SUM(B55:B58)</f>
        <v>0</v>
      </c>
      <c r="C54" s="727">
        <f t="shared" si="13"/>
        <v>0</v>
      </c>
      <c r="D54" s="735">
        <f t="shared" si="13"/>
        <v>0</v>
      </c>
      <c r="E54" s="375">
        <f t="shared" si="13"/>
        <v>0</v>
      </c>
      <c r="F54" s="727">
        <f t="shared" si="13"/>
        <v>0</v>
      </c>
      <c r="G54" s="735">
        <f t="shared" si="13"/>
        <v>0</v>
      </c>
      <c r="K54" s="339"/>
      <c r="L54" s="339"/>
    </row>
    <row r="55" spans="1:12" x14ac:dyDescent="0.3">
      <c r="A55" s="372" t="s">
        <v>391</v>
      </c>
      <c r="B55" s="422">
        <f>SUM(C55:D55)</f>
        <v>0</v>
      </c>
      <c r="C55" s="726"/>
      <c r="D55" s="734"/>
      <c r="E55" s="372">
        <f>SUM(F55:G55)</f>
        <v>0</v>
      </c>
      <c r="F55" s="726"/>
      <c r="G55" s="734"/>
      <c r="K55" s="339"/>
      <c r="L55" s="339"/>
    </row>
    <row r="56" spans="1:12" x14ac:dyDescent="0.3">
      <c r="A56" s="372" t="s">
        <v>392</v>
      </c>
      <c r="B56" s="422">
        <f>SUM(C56:D56)</f>
        <v>0</v>
      </c>
      <c r="C56" s="726"/>
      <c r="D56" s="734"/>
      <c r="E56" s="372">
        <f>SUM(F56:G56)</f>
        <v>0</v>
      </c>
      <c r="F56" s="726"/>
      <c r="G56" s="734"/>
      <c r="K56" s="339"/>
      <c r="L56" s="339"/>
    </row>
    <row r="57" spans="1:12" x14ac:dyDescent="0.3">
      <c r="A57" s="372" t="s">
        <v>393</v>
      </c>
      <c r="B57" s="422">
        <f>SUM(C57:D57)</f>
        <v>0</v>
      </c>
      <c r="C57" s="726"/>
      <c r="D57" s="734"/>
      <c r="E57" s="372">
        <f>SUM(F57:G57)</f>
        <v>0</v>
      </c>
      <c r="F57" s="726"/>
      <c r="G57" s="734"/>
      <c r="K57" s="339"/>
      <c r="L57" s="339"/>
    </row>
    <row r="58" spans="1:12" x14ac:dyDescent="0.3">
      <c r="A58" s="372" t="s">
        <v>394</v>
      </c>
      <c r="B58" s="422">
        <f>SUM(C58:D58)</f>
        <v>0</v>
      </c>
      <c r="C58" s="726"/>
      <c r="D58" s="734"/>
      <c r="E58" s="372">
        <f>SUM(F58:G58)</f>
        <v>0</v>
      </c>
      <c r="F58" s="726"/>
      <c r="G58" s="734"/>
      <c r="K58" s="339"/>
      <c r="L58" s="339"/>
    </row>
    <row r="59" spans="1:12" x14ac:dyDescent="0.3">
      <c r="A59" s="413"/>
      <c r="B59" s="424"/>
      <c r="C59" s="728"/>
      <c r="D59" s="736"/>
      <c r="E59" s="377"/>
      <c r="F59" s="728"/>
      <c r="G59" s="736"/>
      <c r="K59" s="339"/>
      <c r="L59" s="339"/>
    </row>
    <row r="60" spans="1:12" x14ac:dyDescent="0.3">
      <c r="K60" s="339"/>
      <c r="L60" s="339"/>
    </row>
    <row r="61" spans="1:12" x14ac:dyDescent="0.3">
      <c r="K61" s="339"/>
      <c r="L61" s="339"/>
    </row>
    <row r="62" spans="1:12" x14ac:dyDescent="0.3">
      <c r="K62" s="339"/>
      <c r="L62" s="339"/>
    </row>
    <row r="63" spans="1:12" x14ac:dyDescent="0.3">
      <c r="K63" s="339"/>
      <c r="L63" s="339"/>
    </row>
    <row r="64" spans="1:12" x14ac:dyDescent="0.3">
      <c r="K64" s="339"/>
      <c r="L64" s="339"/>
    </row>
    <row r="65" spans="1:12" x14ac:dyDescent="0.3">
      <c r="K65" s="339"/>
      <c r="L65" s="339"/>
    </row>
    <row r="66" spans="1:12" x14ac:dyDescent="0.3">
      <c r="K66" s="339"/>
      <c r="L66" s="339"/>
    </row>
    <row r="67" spans="1:12" x14ac:dyDescent="0.3">
      <c r="K67" s="339"/>
      <c r="L67" s="339"/>
    </row>
    <row r="68" spans="1:12" x14ac:dyDescent="0.3">
      <c r="K68" s="339"/>
      <c r="L68" s="339"/>
    </row>
    <row r="69" spans="1:12" x14ac:dyDescent="0.3">
      <c r="K69" s="339"/>
      <c r="L69" s="339"/>
    </row>
    <row r="70" spans="1:12" x14ac:dyDescent="0.3">
      <c r="K70" s="339"/>
      <c r="L70" s="339"/>
    </row>
    <row r="71" spans="1:12" x14ac:dyDescent="0.3">
      <c r="K71" s="339"/>
      <c r="L71" s="339"/>
    </row>
    <row r="72" spans="1:12" x14ac:dyDescent="0.3">
      <c r="K72" s="339"/>
      <c r="L72" s="339"/>
    </row>
    <row r="73" spans="1:12" x14ac:dyDescent="0.3">
      <c r="K73" s="339"/>
      <c r="L73" s="339"/>
    </row>
    <row r="74" spans="1:12" x14ac:dyDescent="0.3">
      <c r="A74" s="3513" t="s">
        <v>0</v>
      </c>
      <c r="B74" s="3519" t="s">
        <v>24</v>
      </c>
      <c r="C74" s="3519"/>
      <c r="D74" s="3519"/>
      <c r="E74" s="3520" t="s">
        <v>23</v>
      </c>
      <c r="F74" s="3520"/>
      <c r="G74" s="3520"/>
      <c r="K74" s="339"/>
      <c r="L74" s="339"/>
    </row>
    <row r="75" spans="1:12" x14ac:dyDescent="0.3">
      <c r="A75" s="3514"/>
      <c r="B75" s="418" t="s">
        <v>28</v>
      </c>
      <c r="C75" s="723" t="s">
        <v>34</v>
      </c>
      <c r="D75" s="731" t="s">
        <v>62</v>
      </c>
      <c r="E75" s="380" t="s">
        <v>28</v>
      </c>
      <c r="F75" s="723" t="s">
        <v>34</v>
      </c>
      <c r="G75" s="731" t="s">
        <v>62</v>
      </c>
      <c r="K75" s="339"/>
      <c r="L75" s="339"/>
    </row>
    <row r="76" spans="1:12" ht="19.5" thickBot="1" x14ac:dyDescent="0.35">
      <c r="A76" s="419" t="s">
        <v>28</v>
      </c>
      <c r="B76" s="420">
        <f t="shared" ref="B76:G76" si="14">SUM(B77+B81+B91)</f>
        <v>0</v>
      </c>
      <c r="C76" s="724">
        <f t="shared" si="14"/>
        <v>0</v>
      </c>
      <c r="D76" s="732">
        <f t="shared" si="14"/>
        <v>0</v>
      </c>
      <c r="E76" s="367">
        <f t="shared" si="14"/>
        <v>0</v>
      </c>
      <c r="F76" s="724">
        <f t="shared" si="14"/>
        <v>0</v>
      </c>
      <c r="G76" s="732">
        <f t="shared" si="14"/>
        <v>0</v>
      </c>
      <c r="K76" s="339"/>
      <c r="L76" s="339"/>
    </row>
    <row r="77" spans="1:12" ht="19.5" thickTop="1" x14ac:dyDescent="0.3">
      <c r="A77" s="369" t="s">
        <v>7</v>
      </c>
      <c r="B77" s="421">
        <f t="shared" ref="B77:G77" si="15">SUM(B78:B79)</f>
        <v>0</v>
      </c>
      <c r="C77" s="725">
        <f t="shared" si="15"/>
        <v>0</v>
      </c>
      <c r="D77" s="733">
        <f t="shared" si="15"/>
        <v>0</v>
      </c>
      <c r="E77" s="370">
        <f t="shared" si="15"/>
        <v>0</v>
      </c>
      <c r="F77" s="725">
        <f t="shared" si="15"/>
        <v>0</v>
      </c>
      <c r="G77" s="733">
        <f t="shared" si="15"/>
        <v>0</v>
      </c>
      <c r="K77" s="339"/>
      <c r="L77" s="339"/>
    </row>
    <row r="78" spans="1:12" s="596" customFormat="1" x14ac:dyDescent="0.3">
      <c r="A78" s="744" t="s">
        <v>8</v>
      </c>
      <c r="B78" s="745">
        <f>SUM(C78:D78)</f>
        <v>0</v>
      </c>
      <c r="C78" s="743"/>
      <c r="D78" s="741"/>
      <c r="E78" s="373">
        <f>SUM(F78:G78)</f>
        <v>0</v>
      </c>
      <c r="F78" s="743">
        <f>+'[26]16.โครงการ'!$CR$4</f>
        <v>0</v>
      </c>
      <c r="G78" s="741">
        <f>+'[26]16.โครงการ'!$CS$4</f>
        <v>0</v>
      </c>
      <c r="I78" s="339"/>
      <c r="J78" s="339"/>
      <c r="K78" s="339"/>
      <c r="L78" s="339"/>
    </row>
    <row r="79" spans="1:12" x14ac:dyDescent="0.3">
      <c r="A79" s="398" t="s">
        <v>306</v>
      </c>
      <c r="B79" s="422">
        <f>SUM(C79:D79)</f>
        <v>0</v>
      </c>
      <c r="C79" s="726"/>
      <c r="D79" s="734"/>
      <c r="E79" s="372">
        <f>SUM(F79:G79)</f>
        <v>0</v>
      </c>
      <c r="F79" s="726">
        <f>+'[26]16.โครงการ'!$CR$36</f>
        <v>0</v>
      </c>
      <c r="G79" s="734">
        <f>+'[26]16.โครงการ'!$CS$36</f>
        <v>0</v>
      </c>
      <c r="K79" s="339"/>
      <c r="L79" s="339"/>
    </row>
    <row r="80" spans="1:12" x14ac:dyDescent="0.3">
      <c r="A80" s="372"/>
      <c r="B80" s="422"/>
      <c r="C80" s="726"/>
      <c r="D80" s="734"/>
      <c r="E80" s="372"/>
      <c r="F80" s="726"/>
      <c r="G80" s="734"/>
      <c r="K80" s="339"/>
      <c r="L80" s="339"/>
    </row>
    <row r="81" spans="1:12" x14ac:dyDescent="0.3">
      <c r="A81" s="526" t="s">
        <v>9</v>
      </c>
      <c r="B81" s="423">
        <f t="shared" ref="B81:G81" si="16">SUM(B82:B87)</f>
        <v>0</v>
      </c>
      <c r="C81" s="727">
        <f t="shared" si="16"/>
        <v>0</v>
      </c>
      <c r="D81" s="735">
        <f t="shared" si="16"/>
        <v>0</v>
      </c>
      <c r="E81" s="375">
        <f t="shared" si="16"/>
        <v>0</v>
      </c>
      <c r="F81" s="727">
        <f t="shared" si="16"/>
        <v>0</v>
      </c>
      <c r="G81" s="735">
        <f t="shared" si="16"/>
        <v>0</v>
      </c>
      <c r="K81" s="339"/>
      <c r="L81" s="339"/>
    </row>
    <row r="82" spans="1:12" x14ac:dyDescent="0.3">
      <c r="A82" s="372" t="s">
        <v>308</v>
      </c>
      <c r="B82" s="422">
        <f t="shared" ref="B82:B87" si="17">SUM(C82:D82)</f>
        <v>0</v>
      </c>
      <c r="C82" s="726"/>
      <c r="D82" s="734"/>
      <c r="E82" s="372">
        <f t="shared" ref="E82:E87" si="18">SUM(F82:G82)</f>
        <v>0</v>
      </c>
      <c r="F82" s="726">
        <f>+'[26]16.โครงการ'!$CR$69</f>
        <v>0</v>
      </c>
      <c r="G82" s="734">
        <f>+'[26]16.โครงการ'!$CS$69</f>
        <v>0</v>
      </c>
      <c r="K82" s="339"/>
      <c r="L82" s="339"/>
    </row>
    <row r="83" spans="1:12" x14ac:dyDescent="0.3">
      <c r="A83" s="372" t="s">
        <v>309</v>
      </c>
      <c r="B83" s="422">
        <f t="shared" si="17"/>
        <v>0</v>
      </c>
      <c r="C83" s="726"/>
      <c r="D83" s="734"/>
      <c r="E83" s="372">
        <f t="shared" si="18"/>
        <v>0</v>
      </c>
      <c r="F83" s="726">
        <f>+'[26]16.โครงการ'!$CR$102</f>
        <v>0</v>
      </c>
      <c r="G83" s="734">
        <f>+'[26]16.โครงการ'!$CS$102</f>
        <v>0</v>
      </c>
      <c r="K83" s="339"/>
      <c r="L83" s="339"/>
    </row>
    <row r="84" spans="1:12" x14ac:dyDescent="0.3">
      <c r="A84" s="372" t="s">
        <v>310</v>
      </c>
      <c r="B84" s="422">
        <f t="shared" si="17"/>
        <v>0</v>
      </c>
      <c r="C84" s="726"/>
      <c r="D84" s="734"/>
      <c r="E84" s="372">
        <f t="shared" si="18"/>
        <v>0</v>
      </c>
      <c r="F84" s="726">
        <f>+'[26]16.โครงการ'!$CR$135</f>
        <v>0</v>
      </c>
      <c r="G84" s="734">
        <f>+'[26]16.โครงการ'!$CS$135</f>
        <v>0</v>
      </c>
      <c r="K84" s="339"/>
      <c r="L84" s="339"/>
    </row>
    <row r="85" spans="1:12" x14ac:dyDescent="0.3">
      <c r="A85" s="372" t="s">
        <v>311</v>
      </c>
      <c r="B85" s="422">
        <f t="shared" si="17"/>
        <v>0</v>
      </c>
      <c r="C85" s="726"/>
      <c r="D85" s="734"/>
      <c r="E85" s="372">
        <f t="shared" si="18"/>
        <v>0</v>
      </c>
      <c r="F85" s="726">
        <f>+'[26]16.โครงการ'!$CR$168</f>
        <v>0</v>
      </c>
      <c r="G85" s="734">
        <f>+'[26]16.โครงการ'!$CS$168</f>
        <v>0</v>
      </c>
      <c r="K85" s="339"/>
      <c r="L85" s="339"/>
    </row>
    <row r="86" spans="1:12" x14ac:dyDescent="0.3">
      <c r="A86" s="372" t="s">
        <v>312</v>
      </c>
      <c r="B86" s="422">
        <f t="shared" si="17"/>
        <v>0</v>
      </c>
      <c r="C86" s="726"/>
      <c r="D86" s="734"/>
      <c r="E86" s="372">
        <f t="shared" si="18"/>
        <v>0</v>
      </c>
      <c r="F86" s="726">
        <f>+'[26]16.โครงการ'!$CR$201</f>
        <v>0</v>
      </c>
      <c r="G86" s="734">
        <f>+'[26]16.โครงการ'!$CS$201</f>
        <v>0</v>
      </c>
      <c r="K86" s="339"/>
      <c r="L86" s="339"/>
    </row>
    <row r="87" spans="1:12" x14ac:dyDescent="0.3">
      <c r="A87" s="372" t="s">
        <v>313</v>
      </c>
      <c r="B87" s="422">
        <f t="shared" si="17"/>
        <v>0</v>
      </c>
      <c r="C87" s="726"/>
      <c r="D87" s="734"/>
      <c r="E87" s="372">
        <f t="shared" si="18"/>
        <v>0</v>
      </c>
      <c r="F87" s="726">
        <f>+'[26]16.โครงการ'!$CR$507</f>
        <v>0</v>
      </c>
      <c r="G87" s="734">
        <f>+'[26]16.โครงการ'!$CS$507</f>
        <v>0</v>
      </c>
      <c r="K87" s="339"/>
      <c r="L87" s="339"/>
    </row>
    <row r="88" spans="1:12" x14ac:dyDescent="0.3">
      <c r="A88" s="372" t="s">
        <v>314</v>
      </c>
      <c r="B88" s="422"/>
      <c r="C88" s="726"/>
      <c r="D88" s="734"/>
      <c r="E88" s="372"/>
      <c r="F88" s="726">
        <f>+'[26]16.โครงการ'!$CR$537</f>
        <v>0</v>
      </c>
      <c r="G88" s="734">
        <f>+'[26]16.โครงการ'!$CS$537</f>
        <v>0</v>
      </c>
      <c r="K88" s="339"/>
      <c r="L88" s="339"/>
    </row>
    <row r="89" spans="1:12" x14ac:dyDescent="0.3">
      <c r="A89" s="372" t="s">
        <v>315</v>
      </c>
      <c r="B89" s="422"/>
      <c r="C89" s="726"/>
      <c r="D89" s="734"/>
      <c r="E89" s="372"/>
      <c r="F89" s="726">
        <f>+'[26]16.โครงการ'!$CR$568</f>
        <v>0</v>
      </c>
      <c r="G89" s="734">
        <f>+'[26]16.โครงการ'!$CS$568</f>
        <v>0</v>
      </c>
      <c r="K89" s="339"/>
      <c r="L89" s="339"/>
    </row>
    <row r="90" spans="1:12" x14ac:dyDescent="0.3">
      <c r="A90" s="372" t="s">
        <v>390</v>
      </c>
      <c r="B90" s="422"/>
      <c r="C90" s="726"/>
      <c r="D90" s="734"/>
      <c r="E90" s="372"/>
      <c r="F90" s="726"/>
      <c r="G90" s="734"/>
      <c r="K90" s="339"/>
      <c r="L90" s="339"/>
    </row>
    <row r="91" spans="1:12" x14ac:dyDescent="0.3">
      <c r="A91" s="526" t="s">
        <v>12</v>
      </c>
      <c r="B91" s="423">
        <f>SUM(B92:B96)</f>
        <v>0</v>
      </c>
      <c r="C91" s="727">
        <f>SUM(C92:C96)</f>
        <v>0</v>
      </c>
      <c r="D91" s="735">
        <f>SUM(D92:D96)</f>
        <v>0</v>
      </c>
      <c r="E91" s="375">
        <f>SUM(E92:E100)</f>
        <v>0</v>
      </c>
      <c r="F91" s="727">
        <f>SUM(F92:F100)</f>
        <v>0</v>
      </c>
      <c r="G91" s="735">
        <f>SUM(G92:G98)</f>
        <v>0</v>
      </c>
      <c r="K91" s="339"/>
      <c r="L91" s="339"/>
    </row>
    <row r="92" spans="1:12" s="339" customFormat="1" x14ac:dyDescent="0.3">
      <c r="A92" s="372" t="s">
        <v>391</v>
      </c>
      <c r="B92" s="372">
        <f>SUM(C92:D92)</f>
        <v>0</v>
      </c>
      <c r="C92" s="726"/>
      <c r="D92" s="734"/>
      <c r="E92" s="372">
        <f t="shared" ref="E92:E98" si="19">SUM(F92:G92)</f>
        <v>0</v>
      </c>
      <c r="F92" s="726">
        <f>+'[26]16.โครงการ'!$CR$631</f>
        <v>0</v>
      </c>
      <c r="G92" s="734">
        <f>+'[26]16.โครงการ'!$CS$631</f>
        <v>0</v>
      </c>
    </row>
    <row r="93" spans="1:12" s="339" customFormat="1" x14ac:dyDescent="0.3">
      <c r="A93" s="372" t="s">
        <v>392</v>
      </c>
      <c r="B93" s="372">
        <f>SUM(C93:D93)</f>
        <v>0</v>
      </c>
      <c r="C93" s="726"/>
      <c r="D93" s="734"/>
      <c r="E93" s="372">
        <f>SUM(F93:G93)</f>
        <v>0</v>
      </c>
      <c r="F93" s="726">
        <f>+'[26]16.โครงการ'!$CR$664</f>
        <v>0</v>
      </c>
      <c r="G93" s="734">
        <f>+'[26]16.โครงการ'!$CS$664</f>
        <v>0</v>
      </c>
    </row>
    <row r="94" spans="1:12" s="339" customFormat="1" x14ac:dyDescent="0.3">
      <c r="A94" s="372" t="s">
        <v>393</v>
      </c>
      <c r="B94" s="372">
        <f>SUM(C94:D94)</f>
        <v>0</v>
      </c>
      <c r="C94" s="726"/>
      <c r="D94" s="734"/>
      <c r="E94" s="372">
        <f>SUM(F94:G94)</f>
        <v>0</v>
      </c>
      <c r="F94" s="726">
        <f>+'[26]16.โครงการ'!$CR$697</f>
        <v>0</v>
      </c>
      <c r="G94" s="734">
        <f>+'[26]16.โครงการ'!$CS$697</f>
        <v>0</v>
      </c>
    </row>
    <row r="95" spans="1:12" s="339" customFormat="1" x14ac:dyDescent="0.3">
      <c r="A95" s="372" t="s">
        <v>394</v>
      </c>
      <c r="B95" s="372">
        <f>SUM(C95:D95)</f>
        <v>0</v>
      </c>
      <c r="C95" s="726"/>
      <c r="D95" s="734"/>
      <c r="E95" s="372">
        <f t="shared" si="19"/>
        <v>0</v>
      </c>
      <c r="F95" s="726">
        <f>+'[26]16.โครงการ'!$CR$730</f>
        <v>0</v>
      </c>
      <c r="G95" s="734">
        <f>+'[26]16.โครงการ'!$CS$730</f>
        <v>0</v>
      </c>
    </row>
    <row r="96" spans="1:12" s="379" customFormat="1" x14ac:dyDescent="0.3">
      <c r="A96" s="373" t="s">
        <v>409</v>
      </c>
      <c r="B96" s="373">
        <f>SUM(C96:D96)</f>
        <v>0</v>
      </c>
      <c r="C96" s="743"/>
      <c r="D96" s="741"/>
      <c r="E96" s="373">
        <f t="shared" si="19"/>
        <v>0</v>
      </c>
      <c r="F96" s="372">
        <f>+'[14]16.โครงการ'!$BB$4-'[32]16.โครงการ'!$BB$14</f>
        <v>0</v>
      </c>
      <c r="G96" s="741"/>
      <c r="I96" s="339"/>
      <c r="J96" s="339"/>
      <c r="K96" s="339"/>
      <c r="L96" s="339"/>
    </row>
    <row r="97" spans="1:12" s="379" customFormat="1" x14ac:dyDescent="0.3">
      <c r="A97" s="373" t="s">
        <v>508</v>
      </c>
      <c r="B97" s="373"/>
      <c r="C97" s="743"/>
      <c r="D97" s="741"/>
      <c r="E97" s="373">
        <f t="shared" si="19"/>
        <v>0</v>
      </c>
      <c r="F97" s="743">
        <f>+'[14]16.โครงการ'!$BB$36</f>
        <v>0</v>
      </c>
      <c r="G97" s="741">
        <f>+'[14]16.โครงการ'!$BC$36</f>
        <v>0</v>
      </c>
      <c r="I97" s="339"/>
      <c r="J97" s="339"/>
      <c r="K97" s="339"/>
      <c r="L97" s="339"/>
    </row>
    <row r="98" spans="1:12" s="379" customFormat="1" x14ac:dyDescent="0.3">
      <c r="A98" s="373" t="s">
        <v>407</v>
      </c>
      <c r="B98" s="373"/>
      <c r="C98" s="743"/>
      <c r="D98" s="741"/>
      <c r="E98" s="373">
        <f t="shared" si="19"/>
        <v>0</v>
      </c>
      <c r="F98" s="743"/>
      <c r="G98" s="741"/>
      <c r="I98" s="339"/>
      <c r="J98" s="339"/>
      <c r="K98" s="339"/>
      <c r="L98" s="339"/>
    </row>
    <row r="99" spans="1:12" s="379" customFormat="1" x14ac:dyDescent="0.3">
      <c r="A99" s="373" t="s">
        <v>408</v>
      </c>
      <c r="B99" s="373"/>
      <c r="C99" s="743"/>
      <c r="D99" s="741"/>
      <c r="E99" s="373">
        <f>SUM(F99:G99)</f>
        <v>0</v>
      </c>
      <c r="F99" s="743"/>
      <c r="G99" s="741"/>
      <c r="I99" s="339"/>
      <c r="J99" s="339"/>
      <c r="K99" s="339"/>
      <c r="L99" s="339"/>
    </row>
    <row r="100" spans="1:12" s="721" customFormat="1" x14ac:dyDescent="0.3">
      <c r="A100" s="378"/>
      <c r="B100" s="378"/>
      <c r="C100" s="746"/>
      <c r="D100" s="749"/>
      <c r="E100" s="378"/>
      <c r="F100" s="746"/>
      <c r="G100" s="749"/>
      <c r="I100" s="339"/>
      <c r="J100" s="339"/>
      <c r="K100" s="339"/>
      <c r="L100" s="339"/>
    </row>
    <row r="101" spans="1:12" s="339" customFormat="1" x14ac:dyDescent="0.3">
      <c r="C101" s="722"/>
      <c r="D101" s="730"/>
      <c r="F101" s="722"/>
      <c r="G101" s="730"/>
    </row>
    <row r="102" spans="1:12" s="339" customFormat="1" x14ac:dyDescent="0.3">
      <c r="C102" s="722"/>
      <c r="D102" s="730"/>
      <c r="F102" s="722"/>
      <c r="G102" s="730"/>
    </row>
    <row r="103" spans="1:12" x14ac:dyDescent="0.3">
      <c r="K103" s="339"/>
      <c r="L103" s="339"/>
    </row>
    <row r="104" spans="1:12" x14ac:dyDescent="0.3">
      <c r="K104" s="339"/>
      <c r="L104" s="339"/>
    </row>
    <row r="105" spans="1:12" x14ac:dyDescent="0.3">
      <c r="K105" s="339"/>
      <c r="L105" s="339"/>
    </row>
    <row r="106" spans="1:12" x14ac:dyDescent="0.3">
      <c r="K106" s="339"/>
      <c r="L106" s="339"/>
    </row>
    <row r="107" spans="1:12" x14ac:dyDescent="0.3">
      <c r="K107" s="339"/>
      <c r="L107" s="339"/>
    </row>
    <row r="108" spans="1:12" x14ac:dyDescent="0.3">
      <c r="K108" s="339"/>
      <c r="L108" s="339"/>
    </row>
    <row r="109" spans="1:12" x14ac:dyDescent="0.3">
      <c r="K109" s="339"/>
      <c r="L109" s="339"/>
    </row>
    <row r="110" spans="1:12" x14ac:dyDescent="0.3">
      <c r="K110" s="339"/>
      <c r="L110" s="339"/>
    </row>
    <row r="111" spans="1:12" x14ac:dyDescent="0.3">
      <c r="K111" s="339"/>
      <c r="L111" s="339"/>
    </row>
    <row r="112" spans="1:12" x14ac:dyDescent="0.3">
      <c r="K112" s="339"/>
      <c r="L112" s="339"/>
    </row>
    <row r="113" spans="1:12" x14ac:dyDescent="0.3">
      <c r="K113" s="339"/>
      <c r="L113" s="339"/>
    </row>
    <row r="114" spans="1:12" x14ac:dyDescent="0.3">
      <c r="K114" s="339"/>
      <c r="L114" s="339"/>
    </row>
    <row r="115" spans="1:12" x14ac:dyDescent="0.3">
      <c r="A115" s="3513" t="s">
        <v>0</v>
      </c>
      <c r="B115" s="3519" t="s">
        <v>4</v>
      </c>
      <c r="C115" s="3519"/>
      <c r="D115" s="3519"/>
      <c r="E115" s="3520" t="s">
        <v>20</v>
      </c>
      <c r="F115" s="3520"/>
      <c r="G115" s="3520"/>
      <c r="K115" s="339"/>
      <c r="L115" s="339"/>
    </row>
    <row r="116" spans="1:12" x14ac:dyDescent="0.3">
      <c r="A116" s="3514"/>
      <c r="B116" s="418" t="s">
        <v>28</v>
      </c>
      <c r="C116" s="723" t="s">
        <v>34</v>
      </c>
      <c r="D116" s="731" t="s">
        <v>62</v>
      </c>
      <c r="E116" s="380" t="s">
        <v>28</v>
      </c>
      <c r="F116" s="723" t="s">
        <v>34</v>
      </c>
      <c r="G116" s="731" t="s">
        <v>62</v>
      </c>
      <c r="K116" s="339"/>
      <c r="L116" s="339"/>
    </row>
    <row r="117" spans="1:12" ht="19.5" thickBot="1" x14ac:dyDescent="0.35">
      <c r="A117" s="419" t="s">
        <v>28</v>
      </c>
      <c r="B117" s="420">
        <f t="shared" ref="B117:G117" si="20">SUM(B118+B123+B131)</f>
        <v>0</v>
      </c>
      <c r="C117" s="724">
        <f t="shared" si="20"/>
        <v>0</v>
      </c>
      <c r="D117" s="732">
        <f t="shared" si="20"/>
        <v>0</v>
      </c>
      <c r="E117" s="367">
        <f t="shared" si="20"/>
        <v>0</v>
      </c>
      <c r="F117" s="724">
        <f t="shared" si="20"/>
        <v>0</v>
      </c>
      <c r="G117" s="732">
        <f t="shared" si="20"/>
        <v>0</v>
      </c>
      <c r="K117" s="339"/>
      <c r="L117" s="339"/>
    </row>
    <row r="118" spans="1:12" ht="19.5" thickTop="1" x14ac:dyDescent="0.3">
      <c r="A118" s="369" t="s">
        <v>7</v>
      </c>
      <c r="B118" s="421">
        <f t="shared" ref="B118:G118" si="21">SUM(B119:B121)</f>
        <v>0</v>
      </c>
      <c r="C118" s="725">
        <f t="shared" si="21"/>
        <v>0</v>
      </c>
      <c r="D118" s="733">
        <f t="shared" si="21"/>
        <v>0</v>
      </c>
      <c r="E118" s="370">
        <f t="shared" si="21"/>
        <v>0</v>
      </c>
      <c r="F118" s="725">
        <f t="shared" si="21"/>
        <v>0</v>
      </c>
      <c r="G118" s="733">
        <f t="shared" si="21"/>
        <v>0</v>
      </c>
      <c r="K118" s="339"/>
      <c r="L118" s="339"/>
    </row>
    <row r="119" spans="1:12" x14ac:dyDescent="0.3">
      <c r="A119" s="398" t="s">
        <v>8</v>
      </c>
      <c r="B119" s="422">
        <f>SUM(C119:D119)</f>
        <v>0</v>
      </c>
      <c r="C119" s="726"/>
      <c r="D119" s="734"/>
      <c r="E119" s="372">
        <f>SUM(F119:G119)</f>
        <v>0</v>
      </c>
      <c r="F119" s="726"/>
      <c r="G119" s="734"/>
      <c r="K119" s="339"/>
      <c r="L119" s="339"/>
    </row>
    <row r="120" spans="1:12" x14ac:dyDescent="0.3">
      <c r="A120" s="398" t="s">
        <v>306</v>
      </c>
      <c r="B120" s="422">
        <f>SUM(C120:D120)</f>
        <v>0</v>
      </c>
      <c r="C120" s="726"/>
      <c r="D120" s="734"/>
      <c r="E120" s="372">
        <f>SUM(F120:G120)</f>
        <v>0</v>
      </c>
      <c r="F120" s="726"/>
      <c r="G120" s="734"/>
      <c r="K120" s="339"/>
      <c r="L120" s="339"/>
    </row>
    <row r="121" spans="1:12" x14ac:dyDescent="0.3">
      <c r="A121" s="372"/>
      <c r="B121" s="422">
        <f>SUM(C121:D121)</f>
        <v>0</v>
      </c>
      <c r="C121" s="726"/>
      <c r="D121" s="734"/>
      <c r="E121" s="372">
        <f>SUM(F121:G121)</f>
        <v>0</v>
      </c>
      <c r="F121" s="726"/>
      <c r="G121" s="734"/>
      <c r="K121" s="339"/>
      <c r="L121" s="339"/>
    </row>
    <row r="122" spans="1:12" x14ac:dyDescent="0.3">
      <c r="A122" s="526" t="s">
        <v>9</v>
      </c>
      <c r="B122" s="422"/>
      <c r="C122" s="726"/>
      <c r="D122" s="734"/>
      <c r="E122" s="372"/>
      <c r="F122" s="726"/>
      <c r="G122" s="734"/>
      <c r="K122" s="339"/>
      <c r="L122" s="339"/>
    </row>
    <row r="123" spans="1:12" x14ac:dyDescent="0.3">
      <c r="A123" s="372" t="s">
        <v>308</v>
      </c>
      <c r="B123" s="423">
        <f t="shared" ref="B123:G123" si="22">SUM(B124:B129)</f>
        <v>0</v>
      </c>
      <c r="C123" s="727">
        <f t="shared" si="22"/>
        <v>0</v>
      </c>
      <c r="D123" s="735">
        <f t="shared" si="22"/>
        <v>0</v>
      </c>
      <c r="E123" s="375">
        <f t="shared" si="22"/>
        <v>0</v>
      </c>
      <c r="F123" s="727">
        <f t="shared" si="22"/>
        <v>0</v>
      </c>
      <c r="G123" s="735">
        <f t="shared" si="22"/>
        <v>0</v>
      </c>
      <c r="K123" s="339"/>
      <c r="L123" s="339"/>
    </row>
    <row r="124" spans="1:12" x14ac:dyDescent="0.3">
      <c r="A124" s="372" t="s">
        <v>309</v>
      </c>
      <c r="B124" s="422">
        <f t="shared" ref="B124:B129" si="23">SUM(C124:D124)</f>
        <v>0</v>
      </c>
      <c r="C124" s="726"/>
      <c r="D124" s="734"/>
      <c r="E124" s="372">
        <f t="shared" ref="E124:E129" si="24">SUM(F124:G124)</f>
        <v>0</v>
      </c>
      <c r="F124" s="726"/>
      <c r="G124" s="734"/>
      <c r="K124" s="339"/>
      <c r="L124" s="339"/>
    </row>
    <row r="125" spans="1:12" x14ac:dyDescent="0.3">
      <c r="A125" s="372" t="s">
        <v>310</v>
      </c>
      <c r="B125" s="422">
        <f t="shared" si="23"/>
        <v>0</v>
      </c>
      <c r="C125" s="726"/>
      <c r="D125" s="734"/>
      <c r="E125" s="372">
        <f t="shared" si="24"/>
        <v>0</v>
      </c>
      <c r="F125" s="726"/>
      <c r="G125" s="734"/>
      <c r="K125" s="339"/>
      <c r="L125" s="339"/>
    </row>
    <row r="126" spans="1:12" x14ac:dyDescent="0.3">
      <c r="A126" s="372" t="s">
        <v>311</v>
      </c>
      <c r="B126" s="422">
        <f t="shared" si="23"/>
        <v>0</v>
      </c>
      <c r="C126" s="726"/>
      <c r="D126" s="734"/>
      <c r="E126" s="372">
        <f t="shared" si="24"/>
        <v>0</v>
      </c>
      <c r="F126" s="726"/>
      <c r="G126" s="734"/>
      <c r="K126" s="339"/>
      <c r="L126" s="339"/>
    </row>
    <row r="127" spans="1:12" x14ac:dyDescent="0.3">
      <c r="A127" s="372" t="s">
        <v>312</v>
      </c>
      <c r="B127" s="422">
        <f t="shared" si="23"/>
        <v>0</v>
      </c>
      <c r="C127" s="726"/>
      <c r="D127" s="734"/>
      <c r="E127" s="372">
        <f t="shared" si="24"/>
        <v>0</v>
      </c>
      <c r="F127" s="726"/>
      <c r="G127" s="734"/>
      <c r="K127" s="339"/>
      <c r="L127" s="339"/>
    </row>
    <row r="128" spans="1:12" x14ac:dyDescent="0.3">
      <c r="A128" s="372" t="s">
        <v>313</v>
      </c>
      <c r="B128" s="422">
        <f t="shared" si="23"/>
        <v>0</v>
      </c>
      <c r="C128" s="726"/>
      <c r="D128" s="734"/>
      <c r="E128" s="372">
        <f t="shared" si="24"/>
        <v>0</v>
      </c>
      <c r="F128" s="726"/>
      <c r="G128" s="734"/>
      <c r="K128" s="339"/>
      <c r="L128" s="339"/>
    </row>
    <row r="129" spans="1:12" x14ac:dyDescent="0.3">
      <c r="A129" s="372" t="s">
        <v>314</v>
      </c>
      <c r="B129" s="422">
        <f t="shared" si="23"/>
        <v>0</v>
      </c>
      <c r="C129" s="726"/>
      <c r="D129" s="734"/>
      <c r="E129" s="372">
        <f t="shared" si="24"/>
        <v>0</v>
      </c>
      <c r="F129" s="726"/>
      <c r="G129" s="734"/>
      <c r="K129" s="339"/>
      <c r="L129" s="339"/>
    </row>
    <row r="130" spans="1:12" x14ac:dyDescent="0.3">
      <c r="A130" s="372" t="s">
        <v>315</v>
      </c>
      <c r="B130" s="422"/>
      <c r="C130" s="726"/>
      <c r="D130" s="734"/>
      <c r="E130" s="372"/>
      <c r="F130" s="726"/>
      <c r="G130" s="734"/>
      <c r="K130" s="339"/>
      <c r="L130" s="339"/>
    </row>
    <row r="131" spans="1:12" x14ac:dyDescent="0.3">
      <c r="A131" s="372"/>
      <c r="B131" s="423">
        <f>SUM(B132:B136)</f>
        <v>0</v>
      </c>
      <c r="C131" s="727">
        <f>SUM(C132:C136)</f>
        <v>0</v>
      </c>
      <c r="D131" s="735">
        <f>SUM(D132:D136)</f>
        <v>0</v>
      </c>
      <c r="E131" s="375">
        <f>SUM(E132:E135)</f>
        <v>0</v>
      </c>
      <c r="F131" s="727">
        <f>SUM(F132:F135)</f>
        <v>0</v>
      </c>
      <c r="G131" s="735">
        <f>SUM(G132:G135)</f>
        <v>0</v>
      </c>
      <c r="K131" s="339"/>
      <c r="L131" s="339"/>
    </row>
    <row r="132" spans="1:12" x14ac:dyDescent="0.3">
      <c r="A132" s="526" t="s">
        <v>12</v>
      </c>
      <c r="B132" s="422">
        <f>SUM(C132:D132)</f>
        <v>0</v>
      </c>
      <c r="C132" s="726"/>
      <c r="D132" s="734"/>
      <c r="E132" s="372">
        <f>SUM(F132:G132)</f>
        <v>0</v>
      </c>
      <c r="F132" s="726"/>
      <c r="G132" s="734"/>
      <c r="K132" s="339"/>
      <c r="L132" s="339"/>
    </row>
    <row r="133" spans="1:12" x14ac:dyDescent="0.3">
      <c r="A133" s="372" t="s">
        <v>316</v>
      </c>
      <c r="B133" s="422">
        <f>SUM(C133:D133)</f>
        <v>0</v>
      </c>
      <c r="C133" s="726"/>
      <c r="D133" s="734"/>
      <c r="E133" s="372">
        <f>SUM(F133:G133)</f>
        <v>0</v>
      </c>
      <c r="F133" s="726"/>
      <c r="G133" s="734"/>
      <c r="K133" s="339"/>
      <c r="L133" s="339"/>
    </row>
    <row r="134" spans="1:12" x14ac:dyDescent="0.3">
      <c r="A134" s="372" t="s">
        <v>317</v>
      </c>
      <c r="B134" s="422">
        <f>SUM(C134:D134)</f>
        <v>0</v>
      </c>
      <c r="C134" s="726"/>
      <c r="D134" s="734"/>
      <c r="E134" s="372">
        <f>SUM(F134:G134)</f>
        <v>0</v>
      </c>
      <c r="F134" s="726"/>
      <c r="G134" s="734"/>
      <c r="K134" s="339"/>
      <c r="L134" s="339"/>
    </row>
    <row r="135" spans="1:12" x14ac:dyDescent="0.3">
      <c r="A135" s="372" t="s">
        <v>318</v>
      </c>
      <c r="B135" s="422">
        <f>SUM(C135:D135)</f>
        <v>0</v>
      </c>
      <c r="C135" s="726"/>
      <c r="D135" s="734"/>
      <c r="E135" s="372">
        <f>SUM(F135:G135)</f>
        <v>0</v>
      </c>
      <c r="F135" s="726"/>
      <c r="G135" s="734"/>
      <c r="K135" s="339"/>
      <c r="L135" s="339"/>
    </row>
    <row r="136" spans="1:12" x14ac:dyDescent="0.3">
      <c r="A136" s="372" t="s">
        <v>319</v>
      </c>
      <c r="B136" s="422">
        <f>SUM(C136:D136)</f>
        <v>0</v>
      </c>
      <c r="C136" s="726"/>
      <c r="D136" s="734"/>
      <c r="E136" s="372">
        <f>SUM(F136:G136)</f>
        <v>0</v>
      </c>
      <c r="F136" s="726"/>
      <c r="G136" s="734"/>
      <c r="K136" s="339"/>
      <c r="L136" s="339"/>
    </row>
    <row r="137" spans="1:12" x14ac:dyDescent="0.3">
      <c r="A137" s="413"/>
      <c r="B137" s="424"/>
      <c r="C137" s="728"/>
      <c r="D137" s="736"/>
      <c r="E137" s="377"/>
      <c r="F137" s="728"/>
      <c r="G137" s="736"/>
      <c r="K137" s="339"/>
      <c r="L137" s="339"/>
    </row>
    <row r="138" spans="1:12" x14ac:dyDescent="0.3">
      <c r="K138" s="339"/>
      <c r="L138" s="339"/>
    </row>
    <row r="139" spans="1:12" x14ac:dyDescent="0.3">
      <c r="K139" s="339"/>
      <c r="L139" s="339"/>
    </row>
    <row r="140" spans="1:12" x14ac:dyDescent="0.3">
      <c r="K140" s="339"/>
      <c r="L140" s="339"/>
    </row>
    <row r="141" spans="1:12" x14ac:dyDescent="0.3">
      <c r="K141" s="339"/>
      <c r="L141" s="339"/>
    </row>
    <row r="142" spans="1:12" x14ac:dyDescent="0.3">
      <c r="K142" s="339"/>
      <c r="L142" s="339"/>
    </row>
    <row r="143" spans="1:12" x14ac:dyDescent="0.3">
      <c r="K143" s="339"/>
      <c r="L143" s="339"/>
    </row>
    <row r="144" spans="1:12" x14ac:dyDescent="0.3">
      <c r="K144" s="339"/>
      <c r="L144" s="339"/>
    </row>
    <row r="145" spans="1:12" x14ac:dyDescent="0.3">
      <c r="K145" s="339"/>
      <c r="L145" s="339"/>
    </row>
    <row r="146" spans="1:12" x14ac:dyDescent="0.3">
      <c r="K146" s="339"/>
      <c r="L146" s="339"/>
    </row>
    <row r="147" spans="1:12" x14ac:dyDescent="0.3">
      <c r="K147" s="339"/>
      <c r="L147" s="339"/>
    </row>
    <row r="148" spans="1:12" x14ac:dyDescent="0.3">
      <c r="K148" s="339"/>
      <c r="L148" s="339"/>
    </row>
    <row r="149" spans="1:12" x14ac:dyDescent="0.3">
      <c r="K149" s="339"/>
      <c r="L149" s="339"/>
    </row>
    <row r="150" spans="1:12" x14ac:dyDescent="0.3">
      <c r="K150" s="339"/>
      <c r="L150" s="339"/>
    </row>
    <row r="151" spans="1:12" x14ac:dyDescent="0.3">
      <c r="K151" s="339"/>
      <c r="L151" s="339"/>
    </row>
    <row r="152" spans="1:12" x14ac:dyDescent="0.3">
      <c r="A152" s="3513" t="s">
        <v>0</v>
      </c>
      <c r="B152" s="3519" t="s">
        <v>5</v>
      </c>
      <c r="C152" s="3519"/>
      <c r="D152" s="3519"/>
      <c r="E152" s="3520" t="s">
        <v>21</v>
      </c>
      <c r="F152" s="3520"/>
      <c r="G152" s="3520"/>
      <c r="K152" s="339"/>
      <c r="L152" s="339"/>
    </row>
    <row r="153" spans="1:12" x14ac:dyDescent="0.3">
      <c r="A153" s="3514"/>
      <c r="B153" s="418" t="s">
        <v>28</v>
      </c>
      <c r="C153" s="723" t="s">
        <v>34</v>
      </c>
      <c r="D153" s="731" t="s">
        <v>62</v>
      </c>
      <c r="E153" s="380" t="s">
        <v>28</v>
      </c>
      <c r="F153" s="723" t="s">
        <v>34</v>
      </c>
      <c r="G153" s="731" t="s">
        <v>62</v>
      </c>
      <c r="K153" s="339"/>
      <c r="L153" s="339"/>
    </row>
    <row r="154" spans="1:12" ht="19.5" thickBot="1" x14ac:dyDescent="0.35">
      <c r="A154" s="419" t="s">
        <v>28</v>
      </c>
      <c r="B154" s="420">
        <f t="shared" ref="B154:G154" si="25">SUM(B155+B159+B169)</f>
        <v>0</v>
      </c>
      <c r="C154" s="724">
        <f t="shared" si="25"/>
        <v>0</v>
      </c>
      <c r="D154" s="732">
        <f t="shared" si="25"/>
        <v>0</v>
      </c>
      <c r="E154" s="368">
        <f t="shared" si="25"/>
        <v>0</v>
      </c>
      <c r="F154" s="747">
        <f t="shared" si="25"/>
        <v>0</v>
      </c>
      <c r="G154" s="732">
        <f t="shared" si="25"/>
        <v>0</v>
      </c>
      <c r="K154" s="339"/>
      <c r="L154" s="339"/>
    </row>
    <row r="155" spans="1:12" ht="19.5" thickTop="1" x14ac:dyDescent="0.3">
      <c r="A155" s="369" t="s">
        <v>7</v>
      </c>
      <c r="B155" s="421">
        <f t="shared" ref="B155:G155" si="26">SUM(B156:B157)</f>
        <v>0</v>
      </c>
      <c r="C155" s="725">
        <f t="shared" si="26"/>
        <v>0</v>
      </c>
      <c r="D155" s="733">
        <f t="shared" si="26"/>
        <v>0</v>
      </c>
      <c r="E155" s="370">
        <f t="shared" si="26"/>
        <v>0</v>
      </c>
      <c r="F155" s="725">
        <f t="shared" si="26"/>
        <v>0</v>
      </c>
      <c r="G155" s="733">
        <f t="shared" si="26"/>
        <v>0</v>
      </c>
      <c r="K155" s="339"/>
      <c r="L155" s="339"/>
    </row>
    <row r="156" spans="1:12" x14ac:dyDescent="0.3">
      <c r="A156" s="398" t="s">
        <v>8</v>
      </c>
      <c r="B156" s="422">
        <f>SUM(C156:D156)</f>
        <v>0</v>
      </c>
      <c r="C156" s="726"/>
      <c r="D156" s="734"/>
      <c r="E156" s="372">
        <f>SUM(F156:G156)</f>
        <v>0</v>
      </c>
      <c r="F156" s="726"/>
      <c r="G156" s="734"/>
      <c r="K156" s="339"/>
      <c r="L156" s="339"/>
    </row>
    <row r="157" spans="1:12" x14ac:dyDescent="0.3">
      <c r="A157" s="398" t="s">
        <v>306</v>
      </c>
      <c r="B157" s="422">
        <f>SUM(C157:D157)</f>
        <v>0</v>
      </c>
      <c r="C157" s="726"/>
      <c r="D157" s="734"/>
      <c r="E157" s="372">
        <f>SUM(F157:G157)</f>
        <v>0</v>
      </c>
      <c r="F157" s="726"/>
      <c r="G157" s="734"/>
      <c r="K157" s="339"/>
      <c r="L157" s="339"/>
    </row>
    <row r="158" spans="1:12" x14ac:dyDescent="0.3">
      <c r="A158" s="372"/>
      <c r="B158" s="422"/>
      <c r="C158" s="726"/>
      <c r="D158" s="734"/>
      <c r="E158" s="372"/>
      <c r="F158" s="726"/>
      <c r="G158" s="734"/>
      <c r="K158" s="339"/>
      <c r="L158" s="339"/>
    </row>
    <row r="159" spans="1:12" x14ac:dyDescent="0.3">
      <c r="A159" s="526" t="s">
        <v>9</v>
      </c>
      <c r="B159" s="425">
        <f t="shared" ref="B159:G159" si="27">SUM(B160:B165)</f>
        <v>0</v>
      </c>
      <c r="C159" s="727">
        <f t="shared" si="27"/>
        <v>0</v>
      </c>
      <c r="D159" s="738">
        <f t="shared" si="27"/>
        <v>0</v>
      </c>
      <c r="E159" s="375">
        <f t="shared" si="27"/>
        <v>0</v>
      </c>
      <c r="F159" s="727">
        <f t="shared" si="27"/>
        <v>0</v>
      </c>
      <c r="G159" s="735">
        <f t="shared" si="27"/>
        <v>0</v>
      </c>
      <c r="K159" s="339"/>
      <c r="L159" s="339"/>
    </row>
    <row r="160" spans="1:12" x14ac:dyDescent="0.3">
      <c r="A160" s="372" t="s">
        <v>308</v>
      </c>
      <c r="B160" s="426">
        <f t="shared" ref="B160:B165" si="28">SUM(C160:D160)</f>
        <v>0</v>
      </c>
      <c r="C160" s="726"/>
      <c r="D160" s="739"/>
      <c r="E160" s="372">
        <f t="shared" ref="E160:E165" si="29">SUM(F160:G160)</f>
        <v>0</v>
      </c>
      <c r="F160" s="726"/>
      <c r="G160" s="734"/>
      <c r="K160" s="339"/>
      <c r="L160" s="339"/>
    </row>
    <row r="161" spans="1:12" x14ac:dyDescent="0.3">
      <c r="A161" s="372" t="s">
        <v>309</v>
      </c>
      <c r="B161" s="422">
        <f t="shared" si="28"/>
        <v>0</v>
      </c>
      <c r="C161" s="726"/>
      <c r="D161" s="734"/>
      <c r="E161" s="372">
        <f t="shared" si="29"/>
        <v>0</v>
      </c>
      <c r="F161" s="726"/>
      <c r="G161" s="734"/>
      <c r="K161" s="339"/>
      <c r="L161" s="339"/>
    </row>
    <row r="162" spans="1:12" x14ac:dyDescent="0.3">
      <c r="A162" s="372" t="s">
        <v>310</v>
      </c>
      <c r="B162" s="422">
        <f t="shared" si="28"/>
        <v>0</v>
      </c>
      <c r="C162" s="726"/>
      <c r="D162" s="734"/>
      <c r="E162" s="372">
        <f t="shared" si="29"/>
        <v>0</v>
      </c>
      <c r="F162" s="726"/>
      <c r="G162" s="734"/>
      <c r="K162" s="339"/>
      <c r="L162" s="339"/>
    </row>
    <row r="163" spans="1:12" x14ac:dyDescent="0.3">
      <c r="A163" s="372" t="s">
        <v>311</v>
      </c>
      <c r="B163" s="422">
        <f t="shared" si="28"/>
        <v>0</v>
      </c>
      <c r="C163" s="726"/>
      <c r="D163" s="734"/>
      <c r="E163" s="372">
        <f t="shared" si="29"/>
        <v>0</v>
      </c>
      <c r="F163" s="726"/>
      <c r="G163" s="734"/>
      <c r="K163" s="339"/>
      <c r="L163" s="339"/>
    </row>
    <row r="164" spans="1:12" x14ac:dyDescent="0.3">
      <c r="A164" s="372" t="s">
        <v>312</v>
      </c>
      <c r="B164" s="422">
        <f t="shared" si="28"/>
        <v>0</v>
      </c>
      <c r="C164" s="726"/>
      <c r="D164" s="734"/>
      <c r="E164" s="372">
        <f t="shared" si="29"/>
        <v>0</v>
      </c>
      <c r="F164" s="726"/>
      <c r="G164" s="734"/>
      <c r="K164" s="339"/>
      <c r="L164" s="339"/>
    </row>
    <row r="165" spans="1:12" x14ac:dyDescent="0.3">
      <c r="A165" s="372" t="s">
        <v>313</v>
      </c>
      <c r="B165" s="422">
        <f t="shared" si="28"/>
        <v>0</v>
      </c>
      <c r="C165" s="726"/>
      <c r="D165" s="734"/>
      <c r="E165" s="372">
        <f t="shared" si="29"/>
        <v>0</v>
      </c>
      <c r="F165" s="726"/>
      <c r="G165" s="734"/>
      <c r="K165" s="339"/>
      <c r="L165" s="339"/>
    </row>
    <row r="166" spans="1:12" x14ac:dyDescent="0.3">
      <c r="A166" s="372" t="s">
        <v>314</v>
      </c>
      <c r="B166" s="422"/>
      <c r="C166" s="726"/>
      <c r="D166" s="734"/>
      <c r="E166" s="372"/>
      <c r="F166" s="726"/>
      <c r="G166" s="734"/>
      <c r="K166" s="339"/>
      <c r="L166" s="339"/>
    </row>
    <row r="167" spans="1:12" x14ac:dyDescent="0.3">
      <c r="A167" s="372" t="s">
        <v>315</v>
      </c>
      <c r="B167" s="422"/>
      <c r="C167" s="726"/>
      <c r="D167" s="734"/>
      <c r="E167" s="372"/>
      <c r="F167" s="726"/>
      <c r="G167" s="734"/>
      <c r="K167" s="339"/>
      <c r="L167" s="339"/>
    </row>
    <row r="168" spans="1:12" x14ac:dyDescent="0.3">
      <c r="A168" s="372"/>
      <c r="B168" s="422"/>
      <c r="C168" s="726"/>
      <c r="D168" s="734"/>
      <c r="E168" s="372"/>
      <c r="F168" s="726"/>
      <c r="G168" s="734"/>
      <c r="K168" s="339"/>
      <c r="L168" s="339"/>
    </row>
    <row r="169" spans="1:12" x14ac:dyDescent="0.3">
      <c r="A169" s="526" t="s">
        <v>12</v>
      </c>
      <c r="B169" s="423">
        <f t="shared" ref="B169:G169" si="30">SUM(B170:B173)</f>
        <v>0</v>
      </c>
      <c r="C169" s="727">
        <f t="shared" si="30"/>
        <v>0</v>
      </c>
      <c r="D169" s="735">
        <f t="shared" si="30"/>
        <v>0</v>
      </c>
      <c r="E169" s="376">
        <f t="shared" si="30"/>
        <v>0</v>
      </c>
      <c r="F169" s="748">
        <f t="shared" si="30"/>
        <v>0</v>
      </c>
      <c r="G169" s="735">
        <f t="shared" si="30"/>
        <v>0</v>
      </c>
      <c r="K169" s="339"/>
      <c r="L169" s="339"/>
    </row>
    <row r="170" spans="1:12" x14ac:dyDescent="0.3">
      <c r="A170" s="372" t="s">
        <v>316</v>
      </c>
      <c r="B170" s="422">
        <f>SUM(C170:D170)</f>
        <v>0</v>
      </c>
      <c r="C170" s="726"/>
      <c r="D170" s="734"/>
      <c r="E170" s="372">
        <f>SUM(F170:G170)</f>
        <v>0</v>
      </c>
      <c r="F170" s="726"/>
      <c r="G170" s="734"/>
      <c r="K170" s="339"/>
      <c r="L170" s="339"/>
    </row>
    <row r="171" spans="1:12" x14ac:dyDescent="0.3">
      <c r="A171" s="372" t="s">
        <v>317</v>
      </c>
      <c r="B171" s="422">
        <f>SUM(C171:D171)</f>
        <v>0</v>
      </c>
      <c r="C171" s="726"/>
      <c r="D171" s="734"/>
      <c r="E171" s="372">
        <f>SUM(F171:G171)</f>
        <v>0</v>
      </c>
      <c r="F171" s="726"/>
      <c r="G171" s="734"/>
      <c r="K171" s="339"/>
      <c r="L171" s="339"/>
    </row>
    <row r="172" spans="1:12" x14ac:dyDescent="0.3">
      <c r="A172" s="372" t="s">
        <v>318</v>
      </c>
      <c r="B172" s="422">
        <f>SUM(C172:D172)</f>
        <v>0</v>
      </c>
      <c r="C172" s="726"/>
      <c r="D172" s="734"/>
      <c r="E172" s="372">
        <f>SUM(F172:G172)</f>
        <v>0</v>
      </c>
      <c r="F172" s="726"/>
      <c r="G172" s="734"/>
      <c r="K172" s="339"/>
      <c r="L172" s="339"/>
    </row>
    <row r="173" spans="1:12" x14ac:dyDescent="0.3">
      <c r="A173" s="372" t="s">
        <v>319</v>
      </c>
      <c r="B173" s="422">
        <f>SUM(C173:D173)</f>
        <v>0</v>
      </c>
      <c r="C173" s="726"/>
      <c r="D173" s="734"/>
      <c r="E173" s="374">
        <f>SUM(F173:G173)</f>
        <v>0</v>
      </c>
      <c r="F173" s="729"/>
      <c r="G173" s="734"/>
      <c r="K173" s="339"/>
      <c r="L173" s="339"/>
    </row>
    <row r="174" spans="1:12" x14ac:dyDescent="0.3">
      <c r="A174" s="413"/>
      <c r="B174" s="424"/>
      <c r="C174" s="728"/>
      <c r="D174" s="736"/>
      <c r="E174" s="377"/>
      <c r="F174" s="728"/>
      <c r="G174" s="736"/>
      <c r="K174" s="339"/>
      <c r="L174" s="339"/>
    </row>
    <row r="175" spans="1:12" x14ac:dyDescent="0.3">
      <c r="K175" s="339"/>
      <c r="L175" s="339"/>
    </row>
    <row r="176" spans="1:12" x14ac:dyDescent="0.3">
      <c r="K176" s="339"/>
      <c r="L176" s="339"/>
    </row>
    <row r="177" spans="11:12" x14ac:dyDescent="0.3">
      <c r="K177" s="339"/>
      <c r="L177" s="339"/>
    </row>
    <row r="178" spans="11:12" x14ac:dyDescent="0.3">
      <c r="K178" s="339"/>
      <c r="L178" s="339"/>
    </row>
    <row r="179" spans="11:12" x14ac:dyDescent="0.3">
      <c r="K179" s="339"/>
      <c r="L179" s="339"/>
    </row>
    <row r="180" spans="11:12" x14ac:dyDescent="0.3">
      <c r="K180" s="339"/>
      <c r="L180" s="339"/>
    </row>
    <row r="181" spans="11:12" x14ac:dyDescent="0.3">
      <c r="K181" s="339"/>
      <c r="L181" s="339"/>
    </row>
    <row r="182" spans="11:12" x14ac:dyDescent="0.3">
      <c r="K182" s="339"/>
      <c r="L182" s="339"/>
    </row>
    <row r="183" spans="11:12" x14ac:dyDescent="0.3">
      <c r="K183" s="339"/>
      <c r="L183" s="339"/>
    </row>
    <row r="184" spans="11:12" x14ac:dyDescent="0.3">
      <c r="K184" s="339"/>
      <c r="L184" s="339"/>
    </row>
    <row r="185" spans="11:12" x14ac:dyDescent="0.3">
      <c r="K185" s="339"/>
      <c r="L185" s="339"/>
    </row>
    <row r="186" spans="11:12" x14ac:dyDescent="0.3">
      <c r="K186" s="339"/>
      <c r="L186" s="339"/>
    </row>
    <row r="187" spans="11:12" x14ac:dyDescent="0.3">
      <c r="K187" s="339"/>
      <c r="L187" s="339"/>
    </row>
    <row r="188" spans="11:12" x14ac:dyDescent="0.3">
      <c r="K188" s="339"/>
      <c r="L188" s="339"/>
    </row>
    <row r="189" spans="11:12" x14ac:dyDescent="0.3">
      <c r="K189" s="339"/>
      <c r="L189" s="339"/>
    </row>
    <row r="190" spans="11:12" x14ac:dyDescent="0.3">
      <c r="K190" s="339"/>
      <c r="L190" s="339"/>
    </row>
    <row r="191" spans="11:12" x14ac:dyDescent="0.3">
      <c r="K191" s="339"/>
      <c r="L191" s="339"/>
    </row>
    <row r="192" spans="11:12" x14ac:dyDescent="0.3">
      <c r="K192" s="339"/>
      <c r="L192" s="339"/>
    </row>
    <row r="193" spans="11:12" x14ac:dyDescent="0.3">
      <c r="K193" s="339"/>
      <c r="L193" s="339"/>
    </row>
    <row r="194" spans="11:12" x14ac:dyDescent="0.3">
      <c r="K194" s="339"/>
      <c r="L194" s="339"/>
    </row>
    <row r="195" spans="11:12" x14ac:dyDescent="0.3">
      <c r="K195" s="339"/>
      <c r="L195" s="339"/>
    </row>
    <row r="196" spans="11:12" x14ac:dyDescent="0.3">
      <c r="K196" s="339"/>
      <c r="L196" s="339"/>
    </row>
    <row r="197" spans="11:12" x14ac:dyDescent="0.3">
      <c r="K197" s="339"/>
      <c r="L197" s="339"/>
    </row>
    <row r="198" spans="11:12" x14ac:dyDescent="0.3">
      <c r="K198" s="339"/>
      <c r="L198" s="339"/>
    </row>
    <row r="199" spans="11:12" x14ac:dyDescent="0.3">
      <c r="K199" s="339"/>
      <c r="L199" s="339"/>
    </row>
    <row r="200" spans="11:12" x14ac:dyDescent="0.3">
      <c r="K200" s="339"/>
      <c r="L200" s="339"/>
    </row>
    <row r="201" spans="11:12" x14ac:dyDescent="0.3">
      <c r="K201" s="339"/>
      <c r="L201" s="339"/>
    </row>
    <row r="202" spans="11:12" x14ac:dyDescent="0.3">
      <c r="K202" s="339"/>
      <c r="L202" s="339"/>
    </row>
    <row r="203" spans="11:12" x14ac:dyDescent="0.3">
      <c r="K203" s="339"/>
      <c r="L203" s="339"/>
    </row>
    <row r="204" spans="11:12" x14ac:dyDescent="0.3">
      <c r="K204" s="339"/>
      <c r="L204" s="339"/>
    </row>
    <row r="205" spans="11:12" x14ac:dyDescent="0.3">
      <c r="K205" s="339"/>
      <c r="L205" s="339"/>
    </row>
    <row r="206" spans="11:12" x14ac:dyDescent="0.3">
      <c r="K206" s="339"/>
      <c r="L206" s="339"/>
    </row>
    <row r="207" spans="11:12" x14ac:dyDescent="0.3">
      <c r="K207" s="339"/>
      <c r="L207" s="339"/>
    </row>
    <row r="208" spans="11:12" x14ac:dyDescent="0.3">
      <c r="K208" s="339"/>
      <c r="L208" s="339"/>
    </row>
    <row r="209" spans="11:12" x14ac:dyDescent="0.3">
      <c r="K209" s="339"/>
      <c r="L209" s="339"/>
    </row>
    <row r="210" spans="11:12" x14ac:dyDescent="0.3">
      <c r="K210" s="339"/>
      <c r="L210" s="339"/>
    </row>
    <row r="211" spans="11:12" x14ac:dyDescent="0.3">
      <c r="K211" s="339"/>
      <c r="L211" s="339"/>
    </row>
    <row r="212" spans="11:12" x14ac:dyDescent="0.3">
      <c r="K212" s="339"/>
      <c r="L212" s="339"/>
    </row>
    <row r="213" spans="11:12" x14ac:dyDescent="0.3">
      <c r="K213" s="339"/>
      <c r="L213" s="339"/>
    </row>
    <row r="214" spans="11:12" x14ac:dyDescent="0.3">
      <c r="K214" s="339"/>
      <c r="L214" s="339"/>
    </row>
    <row r="215" spans="11:12" x14ac:dyDescent="0.3">
      <c r="K215" s="339"/>
      <c r="L215" s="339"/>
    </row>
    <row r="216" spans="11:12" x14ac:dyDescent="0.3">
      <c r="K216" s="339"/>
      <c r="L216" s="339"/>
    </row>
    <row r="217" spans="11:12" x14ac:dyDescent="0.3">
      <c r="K217" s="339"/>
      <c r="L217" s="339"/>
    </row>
    <row r="218" spans="11:12" x14ac:dyDescent="0.3">
      <c r="K218" s="339"/>
      <c r="L218" s="339"/>
    </row>
    <row r="219" spans="11:12" x14ac:dyDescent="0.3">
      <c r="K219" s="339"/>
      <c r="L219" s="339"/>
    </row>
    <row r="220" spans="11:12" x14ac:dyDescent="0.3">
      <c r="K220" s="339"/>
      <c r="L220" s="339"/>
    </row>
    <row r="221" spans="11:12" x14ac:dyDescent="0.3">
      <c r="K221" s="339"/>
      <c r="L221" s="339"/>
    </row>
    <row r="222" spans="11:12" x14ac:dyDescent="0.3">
      <c r="K222" s="339"/>
      <c r="L222" s="339"/>
    </row>
    <row r="223" spans="11:12" x14ac:dyDescent="0.3">
      <c r="K223" s="339"/>
      <c r="L223" s="339"/>
    </row>
    <row r="224" spans="11:12" x14ac:dyDescent="0.3">
      <c r="K224" s="339"/>
      <c r="L224" s="339"/>
    </row>
    <row r="225" spans="11:12" x14ac:dyDescent="0.3">
      <c r="K225" s="339"/>
      <c r="L225" s="339"/>
    </row>
    <row r="226" spans="11:12" x14ac:dyDescent="0.3">
      <c r="K226" s="339"/>
      <c r="L226" s="339"/>
    </row>
    <row r="227" spans="11:12" x14ac:dyDescent="0.3">
      <c r="K227" s="339"/>
      <c r="L227" s="339"/>
    </row>
    <row r="228" spans="11:12" x14ac:dyDescent="0.3">
      <c r="K228" s="339"/>
      <c r="L228" s="339"/>
    </row>
    <row r="229" spans="11:12" x14ac:dyDescent="0.3">
      <c r="K229" s="339"/>
      <c r="L229" s="339"/>
    </row>
    <row r="230" spans="11:12" x14ac:dyDescent="0.3">
      <c r="K230" s="339"/>
      <c r="L230" s="339"/>
    </row>
    <row r="231" spans="11:12" x14ac:dyDescent="0.3">
      <c r="K231" s="339"/>
      <c r="L231" s="339"/>
    </row>
    <row r="232" spans="11:12" x14ac:dyDescent="0.3">
      <c r="K232" s="339"/>
      <c r="L232" s="339"/>
    </row>
    <row r="233" spans="11:12" x14ac:dyDescent="0.3">
      <c r="K233" s="339"/>
      <c r="L233" s="339"/>
    </row>
    <row r="234" spans="11:12" x14ac:dyDescent="0.3">
      <c r="K234" s="339"/>
      <c r="L234" s="339"/>
    </row>
    <row r="235" spans="11:12" x14ac:dyDescent="0.3">
      <c r="K235" s="339"/>
      <c r="L235" s="339"/>
    </row>
    <row r="236" spans="11:12" x14ac:dyDescent="0.3">
      <c r="K236" s="339"/>
      <c r="L236" s="339"/>
    </row>
    <row r="237" spans="11:12" x14ac:dyDescent="0.3">
      <c r="K237" s="339"/>
      <c r="L237" s="339"/>
    </row>
    <row r="238" spans="11:12" x14ac:dyDescent="0.3">
      <c r="K238" s="339"/>
      <c r="L238" s="339"/>
    </row>
    <row r="239" spans="11:12" x14ac:dyDescent="0.3">
      <c r="K239" s="339"/>
      <c r="L239" s="339"/>
    </row>
    <row r="240" spans="11:12" x14ac:dyDescent="0.3">
      <c r="K240" s="339"/>
      <c r="L240" s="339"/>
    </row>
    <row r="241" spans="11:12" x14ac:dyDescent="0.3">
      <c r="K241" s="339"/>
      <c r="L241" s="339"/>
    </row>
    <row r="242" spans="11:12" x14ac:dyDescent="0.3">
      <c r="K242" s="339"/>
      <c r="L242" s="339"/>
    </row>
    <row r="243" spans="11:12" x14ac:dyDescent="0.3">
      <c r="K243" s="339"/>
      <c r="L243" s="339"/>
    </row>
    <row r="244" spans="11:12" x14ac:dyDescent="0.3">
      <c r="K244" s="339"/>
      <c r="L244" s="339"/>
    </row>
    <row r="245" spans="11:12" x14ac:dyDescent="0.3">
      <c r="K245" s="339"/>
      <c r="L245" s="339"/>
    </row>
    <row r="246" spans="11:12" x14ac:dyDescent="0.3">
      <c r="K246" s="339"/>
      <c r="L246" s="339"/>
    </row>
    <row r="247" spans="11:12" x14ac:dyDescent="0.3">
      <c r="K247" s="339"/>
      <c r="L247" s="339"/>
    </row>
    <row r="248" spans="11:12" x14ac:dyDescent="0.3">
      <c r="K248" s="339"/>
      <c r="L248" s="339"/>
    </row>
    <row r="249" spans="11:12" x14ac:dyDescent="0.3">
      <c r="K249" s="339"/>
      <c r="L249" s="339"/>
    </row>
    <row r="250" spans="11:12" x14ac:dyDescent="0.3">
      <c r="K250" s="339"/>
      <c r="L250" s="339"/>
    </row>
    <row r="251" spans="11:12" x14ac:dyDescent="0.3">
      <c r="K251" s="339"/>
      <c r="L251" s="339"/>
    </row>
    <row r="252" spans="11:12" x14ac:dyDescent="0.3">
      <c r="K252" s="339"/>
      <c r="L252" s="339"/>
    </row>
    <row r="253" spans="11:12" x14ac:dyDescent="0.3">
      <c r="K253" s="339"/>
      <c r="L253" s="339"/>
    </row>
    <row r="254" spans="11:12" x14ac:dyDescent="0.3">
      <c r="K254" s="339"/>
      <c r="L254" s="339"/>
    </row>
    <row r="255" spans="11:12" x14ac:dyDescent="0.3">
      <c r="K255" s="339"/>
      <c r="L255" s="339"/>
    </row>
    <row r="256" spans="11:12" x14ac:dyDescent="0.3">
      <c r="K256" s="339"/>
      <c r="L256" s="339"/>
    </row>
    <row r="257" spans="11:12" x14ac:dyDescent="0.3">
      <c r="K257" s="339"/>
      <c r="L257" s="339"/>
    </row>
    <row r="258" spans="11:12" x14ac:dyDescent="0.3">
      <c r="K258" s="339"/>
      <c r="L258" s="339"/>
    </row>
    <row r="259" spans="11:12" x14ac:dyDescent="0.3">
      <c r="K259" s="339"/>
      <c r="L259" s="339"/>
    </row>
    <row r="260" spans="11:12" x14ac:dyDescent="0.3">
      <c r="K260" s="339"/>
      <c r="L260" s="339"/>
    </row>
    <row r="261" spans="11:12" x14ac:dyDescent="0.3">
      <c r="K261" s="339"/>
      <c r="L261" s="339"/>
    </row>
    <row r="262" spans="11:12" x14ac:dyDescent="0.3">
      <c r="K262" s="339"/>
      <c r="L262" s="339"/>
    </row>
    <row r="263" spans="11:12" x14ac:dyDescent="0.3">
      <c r="K263" s="339"/>
      <c r="L263" s="339"/>
    </row>
    <row r="264" spans="11:12" x14ac:dyDescent="0.3">
      <c r="K264" s="339"/>
      <c r="L264" s="339"/>
    </row>
    <row r="265" spans="11:12" x14ac:dyDescent="0.3">
      <c r="K265" s="339"/>
      <c r="L265" s="339"/>
    </row>
    <row r="266" spans="11:12" x14ac:dyDescent="0.3">
      <c r="K266" s="339"/>
      <c r="L266" s="339"/>
    </row>
    <row r="267" spans="11:12" x14ac:dyDescent="0.3">
      <c r="K267" s="339"/>
      <c r="L267" s="339"/>
    </row>
    <row r="268" spans="11:12" x14ac:dyDescent="0.3">
      <c r="K268" s="339"/>
      <c r="L268" s="339"/>
    </row>
    <row r="269" spans="11:12" x14ac:dyDescent="0.3">
      <c r="K269" s="339"/>
      <c r="L269" s="339"/>
    </row>
    <row r="270" spans="11:12" x14ac:dyDescent="0.3">
      <c r="K270" s="339"/>
      <c r="L270" s="339"/>
    </row>
    <row r="271" spans="11:12" x14ac:dyDescent="0.3">
      <c r="K271" s="339"/>
      <c r="L271" s="339"/>
    </row>
    <row r="272" spans="11:12" x14ac:dyDescent="0.3">
      <c r="K272" s="339"/>
      <c r="L272" s="339"/>
    </row>
    <row r="273" spans="11:12" x14ac:dyDescent="0.3">
      <c r="K273" s="339"/>
      <c r="L273" s="339"/>
    </row>
    <row r="274" spans="11:12" x14ac:dyDescent="0.3">
      <c r="K274" s="339"/>
      <c r="L274" s="339"/>
    </row>
    <row r="275" spans="11:12" x14ac:dyDescent="0.3">
      <c r="K275" s="339"/>
      <c r="L275" s="339"/>
    </row>
    <row r="276" spans="11:12" x14ac:dyDescent="0.3">
      <c r="K276" s="339"/>
      <c r="L276" s="339"/>
    </row>
    <row r="277" spans="11:12" x14ac:dyDescent="0.3">
      <c r="K277" s="339"/>
      <c r="L277" s="339"/>
    </row>
    <row r="278" spans="11:12" x14ac:dyDescent="0.3">
      <c r="K278" s="339"/>
      <c r="L278" s="339"/>
    </row>
    <row r="279" spans="11:12" x14ac:dyDescent="0.3">
      <c r="K279" s="339"/>
      <c r="L279" s="339"/>
    </row>
    <row r="280" spans="11:12" x14ac:dyDescent="0.3">
      <c r="K280" s="339"/>
      <c r="L280" s="339"/>
    </row>
    <row r="281" spans="11:12" x14ac:dyDescent="0.3">
      <c r="K281" s="339"/>
      <c r="L281" s="339"/>
    </row>
    <row r="282" spans="11:12" x14ac:dyDescent="0.3">
      <c r="K282" s="339"/>
      <c r="L282" s="339"/>
    </row>
    <row r="283" spans="11:12" x14ac:dyDescent="0.3">
      <c r="K283" s="339"/>
      <c r="L283" s="339"/>
    </row>
    <row r="284" spans="11:12" x14ac:dyDescent="0.3">
      <c r="K284" s="339"/>
      <c r="L284" s="339"/>
    </row>
    <row r="285" spans="11:12" x14ac:dyDescent="0.3">
      <c r="K285" s="339"/>
      <c r="L285" s="339"/>
    </row>
    <row r="286" spans="11:12" x14ac:dyDescent="0.3">
      <c r="K286" s="339"/>
      <c r="L286" s="339"/>
    </row>
    <row r="287" spans="11:12" x14ac:dyDescent="0.3">
      <c r="K287" s="339"/>
      <c r="L287" s="339"/>
    </row>
    <row r="288" spans="11:12" x14ac:dyDescent="0.3">
      <c r="K288" s="339"/>
      <c r="L288" s="339"/>
    </row>
    <row r="289" spans="11:12" x14ac:dyDescent="0.3">
      <c r="K289" s="339"/>
      <c r="L289" s="339"/>
    </row>
    <row r="290" spans="11:12" x14ac:dyDescent="0.3">
      <c r="K290" s="339"/>
      <c r="L290" s="339"/>
    </row>
    <row r="291" spans="11:12" x14ac:dyDescent="0.3">
      <c r="K291" s="339"/>
      <c r="L291" s="339"/>
    </row>
    <row r="292" spans="11:12" x14ac:dyDescent="0.3">
      <c r="K292" s="339"/>
      <c r="L292" s="339"/>
    </row>
    <row r="293" spans="11:12" x14ac:dyDescent="0.3">
      <c r="K293" s="339"/>
      <c r="L293" s="339"/>
    </row>
    <row r="294" spans="11:12" x14ac:dyDescent="0.3">
      <c r="K294" s="339"/>
      <c r="L294" s="339"/>
    </row>
    <row r="295" spans="11:12" x14ac:dyDescent="0.3">
      <c r="K295" s="339"/>
      <c r="L295" s="339"/>
    </row>
    <row r="296" spans="11:12" x14ac:dyDescent="0.3">
      <c r="K296" s="339"/>
      <c r="L296" s="339"/>
    </row>
    <row r="297" spans="11:12" x14ac:dyDescent="0.3">
      <c r="K297" s="339"/>
      <c r="L297" s="339"/>
    </row>
    <row r="298" spans="11:12" x14ac:dyDescent="0.3">
      <c r="K298" s="339"/>
      <c r="L298" s="339"/>
    </row>
    <row r="299" spans="11:12" x14ac:dyDescent="0.3">
      <c r="K299" s="339"/>
      <c r="L299" s="339"/>
    </row>
    <row r="300" spans="11:12" x14ac:dyDescent="0.3">
      <c r="K300" s="339"/>
      <c r="L300" s="339"/>
    </row>
    <row r="301" spans="11:12" x14ac:dyDescent="0.3">
      <c r="K301" s="339"/>
      <c r="L301" s="339"/>
    </row>
    <row r="302" spans="11:12" x14ac:dyDescent="0.3">
      <c r="K302" s="339"/>
      <c r="L302" s="339"/>
    </row>
    <row r="303" spans="11:12" x14ac:dyDescent="0.3">
      <c r="K303" s="339"/>
      <c r="L303" s="339"/>
    </row>
    <row r="304" spans="11:12" x14ac:dyDescent="0.3">
      <c r="K304" s="339"/>
      <c r="L304" s="339"/>
    </row>
    <row r="305" spans="11:12" x14ac:dyDescent="0.3">
      <c r="K305" s="339"/>
      <c r="L305" s="339"/>
    </row>
    <row r="306" spans="11:12" x14ac:dyDescent="0.3">
      <c r="K306" s="339"/>
      <c r="L306" s="339"/>
    </row>
    <row r="307" spans="11:12" x14ac:dyDescent="0.3">
      <c r="K307" s="339"/>
      <c r="L307" s="339"/>
    </row>
    <row r="308" spans="11:12" x14ac:dyDescent="0.3">
      <c r="K308" s="339"/>
      <c r="L308" s="339"/>
    </row>
    <row r="309" spans="11:12" x14ac:dyDescent="0.3">
      <c r="K309" s="339"/>
      <c r="L309" s="339"/>
    </row>
    <row r="310" spans="11:12" x14ac:dyDescent="0.3">
      <c r="K310" s="339"/>
      <c r="L310" s="339"/>
    </row>
    <row r="311" spans="11:12" x14ac:dyDescent="0.3">
      <c r="K311" s="339"/>
      <c r="L311" s="339"/>
    </row>
    <row r="312" spans="11:12" x14ac:dyDescent="0.3">
      <c r="K312" s="339"/>
      <c r="L312" s="339"/>
    </row>
    <row r="313" spans="11:12" x14ac:dyDescent="0.3">
      <c r="K313" s="339"/>
      <c r="L313" s="339"/>
    </row>
    <row r="314" spans="11:12" x14ac:dyDescent="0.3">
      <c r="K314" s="339"/>
      <c r="L314" s="339"/>
    </row>
    <row r="315" spans="11:12" x14ac:dyDescent="0.3">
      <c r="K315" s="339"/>
      <c r="L315" s="339"/>
    </row>
    <row r="316" spans="11:12" x14ac:dyDescent="0.3">
      <c r="K316" s="339"/>
      <c r="L316" s="339"/>
    </row>
    <row r="317" spans="11:12" x14ac:dyDescent="0.3">
      <c r="K317" s="339"/>
      <c r="L317" s="339"/>
    </row>
    <row r="318" spans="11:12" x14ac:dyDescent="0.3">
      <c r="K318" s="339"/>
      <c r="L318" s="339"/>
    </row>
    <row r="319" spans="11:12" x14ac:dyDescent="0.3">
      <c r="K319" s="339"/>
      <c r="L319" s="339"/>
    </row>
    <row r="320" spans="11:12" x14ac:dyDescent="0.3">
      <c r="K320" s="339"/>
      <c r="L320" s="339"/>
    </row>
    <row r="321" spans="11:12" x14ac:dyDescent="0.3">
      <c r="K321" s="339"/>
      <c r="L321" s="339"/>
    </row>
    <row r="322" spans="11:12" x14ac:dyDescent="0.3">
      <c r="K322" s="339"/>
      <c r="L322" s="339"/>
    </row>
    <row r="323" spans="11:12" x14ac:dyDescent="0.3">
      <c r="K323" s="339"/>
      <c r="L323" s="339"/>
    </row>
    <row r="324" spans="11:12" x14ac:dyDescent="0.3">
      <c r="K324" s="339"/>
      <c r="L324" s="339"/>
    </row>
    <row r="325" spans="11:12" x14ac:dyDescent="0.3">
      <c r="K325" s="339"/>
      <c r="L325" s="339"/>
    </row>
    <row r="326" spans="11:12" x14ac:dyDescent="0.3">
      <c r="K326" s="339"/>
      <c r="L326" s="339"/>
    </row>
    <row r="327" spans="11:12" x14ac:dyDescent="0.3">
      <c r="K327" s="339"/>
      <c r="L327" s="339"/>
    </row>
    <row r="328" spans="11:12" x14ac:dyDescent="0.3">
      <c r="K328" s="339"/>
      <c r="L328" s="339"/>
    </row>
    <row r="329" spans="11:12" x14ac:dyDescent="0.3">
      <c r="K329" s="339"/>
      <c r="L329" s="339"/>
    </row>
    <row r="330" spans="11:12" x14ac:dyDescent="0.3">
      <c r="K330" s="339"/>
      <c r="L330" s="339"/>
    </row>
    <row r="331" spans="11:12" x14ac:dyDescent="0.3">
      <c r="K331" s="339"/>
      <c r="L331" s="339"/>
    </row>
    <row r="332" spans="11:12" x14ac:dyDescent="0.3">
      <c r="K332" s="339"/>
      <c r="L332" s="339"/>
    </row>
    <row r="333" spans="11:12" x14ac:dyDescent="0.3">
      <c r="K333" s="339"/>
      <c r="L333" s="339"/>
    </row>
    <row r="334" spans="11:12" x14ac:dyDescent="0.3">
      <c r="K334" s="339"/>
      <c r="L334" s="339"/>
    </row>
    <row r="335" spans="11:12" x14ac:dyDescent="0.3">
      <c r="K335" s="339"/>
      <c r="L335" s="339"/>
    </row>
    <row r="336" spans="11:12" x14ac:dyDescent="0.3">
      <c r="K336" s="339"/>
      <c r="L336" s="339"/>
    </row>
    <row r="337" spans="11:12" x14ac:dyDescent="0.3">
      <c r="K337" s="339"/>
      <c r="L337" s="339"/>
    </row>
    <row r="338" spans="11:12" x14ac:dyDescent="0.3">
      <c r="K338" s="339"/>
      <c r="L338" s="339"/>
    </row>
    <row r="339" spans="11:12" x14ac:dyDescent="0.3">
      <c r="K339" s="339"/>
      <c r="L339" s="339"/>
    </row>
    <row r="340" spans="11:12" x14ac:dyDescent="0.3">
      <c r="K340" s="339"/>
      <c r="L340" s="339"/>
    </row>
    <row r="341" spans="11:12" x14ac:dyDescent="0.3">
      <c r="K341" s="339"/>
      <c r="L341" s="339"/>
    </row>
    <row r="342" spans="11:12" x14ac:dyDescent="0.3">
      <c r="K342" s="339"/>
      <c r="L342" s="339"/>
    </row>
    <row r="343" spans="11:12" x14ac:dyDescent="0.3">
      <c r="K343" s="339"/>
      <c r="L343" s="339"/>
    </row>
    <row r="344" spans="11:12" x14ac:dyDescent="0.3">
      <c r="K344" s="339"/>
      <c r="L344" s="339"/>
    </row>
    <row r="345" spans="11:12" x14ac:dyDescent="0.3">
      <c r="K345" s="339"/>
      <c r="L345" s="339"/>
    </row>
    <row r="346" spans="11:12" x14ac:dyDescent="0.3">
      <c r="K346" s="339"/>
      <c r="L346" s="339"/>
    </row>
    <row r="347" spans="11:12" x14ac:dyDescent="0.3">
      <c r="K347" s="339"/>
      <c r="L347" s="339"/>
    </row>
    <row r="348" spans="11:12" x14ac:dyDescent="0.3">
      <c r="K348" s="339"/>
      <c r="L348" s="339"/>
    </row>
    <row r="349" spans="11:12" x14ac:dyDescent="0.3">
      <c r="K349" s="339"/>
      <c r="L349" s="339"/>
    </row>
    <row r="350" spans="11:12" x14ac:dyDescent="0.3">
      <c r="K350" s="339"/>
      <c r="L350" s="339"/>
    </row>
    <row r="351" spans="11:12" x14ac:dyDescent="0.3">
      <c r="K351" s="339"/>
      <c r="L351" s="339"/>
    </row>
    <row r="352" spans="11:12" x14ac:dyDescent="0.3">
      <c r="K352" s="339"/>
      <c r="L352" s="339"/>
    </row>
    <row r="353" spans="11:12" x14ac:dyDescent="0.3">
      <c r="K353" s="339"/>
      <c r="L353" s="339"/>
    </row>
    <row r="354" spans="11:12" x14ac:dyDescent="0.3">
      <c r="K354" s="339"/>
      <c r="L354" s="339"/>
    </row>
    <row r="355" spans="11:12" x14ac:dyDescent="0.3">
      <c r="K355" s="339"/>
      <c r="L355" s="339"/>
    </row>
    <row r="356" spans="11:12" x14ac:dyDescent="0.3">
      <c r="K356" s="339"/>
      <c r="L356" s="339"/>
    </row>
    <row r="357" spans="11:12" x14ac:dyDescent="0.3">
      <c r="K357" s="339"/>
      <c r="L357" s="339"/>
    </row>
    <row r="358" spans="11:12" x14ac:dyDescent="0.3">
      <c r="K358" s="339"/>
      <c r="L358" s="339"/>
    </row>
    <row r="359" spans="11:12" x14ac:dyDescent="0.3">
      <c r="K359" s="339"/>
      <c r="L359" s="339"/>
    </row>
    <row r="360" spans="11:12" x14ac:dyDescent="0.3">
      <c r="K360" s="339"/>
      <c r="L360" s="339"/>
    </row>
    <row r="361" spans="11:12" x14ac:dyDescent="0.3">
      <c r="K361" s="339"/>
      <c r="L361" s="339"/>
    </row>
    <row r="362" spans="11:12" x14ac:dyDescent="0.3">
      <c r="K362" s="339"/>
      <c r="L362" s="339"/>
    </row>
    <row r="363" spans="11:12" x14ac:dyDescent="0.3">
      <c r="K363" s="339"/>
      <c r="L363" s="339"/>
    </row>
    <row r="364" spans="11:12" x14ac:dyDescent="0.3">
      <c r="K364" s="339"/>
      <c r="L364" s="339"/>
    </row>
    <row r="365" spans="11:12" x14ac:dyDescent="0.3">
      <c r="K365" s="339"/>
      <c r="L365" s="339"/>
    </row>
    <row r="366" spans="11:12" x14ac:dyDescent="0.3">
      <c r="K366" s="339"/>
      <c r="L366" s="339"/>
    </row>
    <row r="367" spans="11:12" x14ac:dyDescent="0.3">
      <c r="K367" s="339"/>
      <c r="L367" s="339"/>
    </row>
    <row r="368" spans="11:12" x14ac:dyDescent="0.3">
      <c r="K368" s="339"/>
      <c r="L368" s="339"/>
    </row>
    <row r="369" spans="11:12" x14ac:dyDescent="0.3">
      <c r="K369" s="339"/>
      <c r="L369" s="339"/>
    </row>
    <row r="370" spans="11:12" x14ac:dyDescent="0.3">
      <c r="K370" s="339"/>
      <c r="L370" s="339"/>
    </row>
    <row r="371" spans="11:12" x14ac:dyDescent="0.3">
      <c r="K371" s="339"/>
      <c r="L371" s="339"/>
    </row>
    <row r="372" spans="11:12" x14ac:dyDescent="0.3">
      <c r="K372" s="339"/>
      <c r="L372" s="339"/>
    </row>
    <row r="373" spans="11:12" x14ac:dyDescent="0.3">
      <c r="K373" s="339"/>
      <c r="L373" s="339"/>
    </row>
    <row r="374" spans="11:12" x14ac:dyDescent="0.3">
      <c r="K374" s="339"/>
      <c r="L374" s="339"/>
    </row>
    <row r="375" spans="11:12" x14ac:dyDescent="0.3">
      <c r="K375" s="339"/>
      <c r="L375" s="339"/>
    </row>
    <row r="376" spans="11:12" x14ac:dyDescent="0.3">
      <c r="K376" s="339"/>
      <c r="L376" s="339"/>
    </row>
    <row r="377" spans="11:12" x14ac:dyDescent="0.3">
      <c r="K377" s="339"/>
      <c r="L377" s="339"/>
    </row>
    <row r="378" spans="11:12" x14ac:dyDescent="0.3">
      <c r="K378" s="339"/>
      <c r="L378" s="339"/>
    </row>
    <row r="379" spans="11:12" x14ac:dyDescent="0.3">
      <c r="K379" s="339"/>
      <c r="L379" s="339"/>
    </row>
    <row r="380" spans="11:12" x14ac:dyDescent="0.3">
      <c r="K380" s="339"/>
      <c r="L380" s="339"/>
    </row>
    <row r="381" spans="11:12" x14ac:dyDescent="0.3">
      <c r="K381" s="339"/>
      <c r="L381" s="339"/>
    </row>
  </sheetData>
  <mergeCells count="17">
    <mergeCell ref="A37:A38"/>
    <mergeCell ref="B37:D37"/>
    <mergeCell ref="E37:G37"/>
    <mergeCell ref="A152:A153"/>
    <mergeCell ref="B152:D152"/>
    <mergeCell ref="E152:G152"/>
    <mergeCell ref="A74:A75"/>
    <mergeCell ref="B74:D74"/>
    <mergeCell ref="E74:G74"/>
    <mergeCell ref="A115:A116"/>
    <mergeCell ref="B115:D115"/>
    <mergeCell ref="E115:G115"/>
    <mergeCell ref="A3:A4"/>
    <mergeCell ref="B3:D3"/>
    <mergeCell ref="E3:G3"/>
    <mergeCell ref="I3:I4"/>
    <mergeCell ref="J3:L3"/>
  </mergeCells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CCECFF"/>
  </sheetPr>
  <dimension ref="A1:T381"/>
  <sheetViews>
    <sheetView zoomScaleNormal="100" workbookViewId="0">
      <selection activeCell="P14" sqref="P14"/>
    </sheetView>
  </sheetViews>
  <sheetFormatPr defaultColWidth="9.140625" defaultRowHeight="18.75" x14ac:dyDescent="0.3"/>
  <cols>
    <col min="1" max="1" width="22.5703125" style="395" customWidth="1"/>
    <col min="2" max="2" width="10" style="414" customWidth="1"/>
    <col min="3" max="3" width="10.140625" style="722" customWidth="1"/>
    <col min="4" max="4" width="9" style="730" customWidth="1"/>
    <col min="5" max="5" width="12" style="339" customWidth="1"/>
    <col min="6" max="6" width="13.85546875" style="722" customWidth="1"/>
    <col min="7" max="7" width="10.85546875" style="730" customWidth="1"/>
    <col min="8" max="8" width="11" style="395" bestFit="1" customWidth="1"/>
    <col min="9" max="9" width="23.28515625" style="339" customWidth="1"/>
    <col min="10" max="10" width="11" style="339" customWidth="1"/>
    <col min="11" max="11" width="11.85546875" style="722" customWidth="1"/>
    <col min="12" max="12" width="11.28515625" style="730" customWidth="1"/>
    <col min="13" max="14" width="10.42578125" style="395" customWidth="1"/>
    <col min="15" max="15" width="9.140625" style="395"/>
    <col min="16" max="16" width="19.140625" style="395" customWidth="1"/>
    <col min="17" max="16384" width="9.140625" style="395"/>
  </cols>
  <sheetData>
    <row r="1" spans="1:20" x14ac:dyDescent="0.3">
      <c r="A1" s="415" t="s">
        <v>814</v>
      </c>
      <c r="K1" s="339"/>
      <c r="L1" s="382"/>
      <c r="N1" s="416"/>
      <c r="Q1" s="472"/>
      <c r="R1" s="472"/>
      <c r="S1" s="473"/>
      <c r="T1" s="474"/>
    </row>
    <row r="2" spans="1:20" x14ac:dyDescent="0.3">
      <c r="K2" s="339"/>
      <c r="L2" s="339"/>
      <c r="N2" s="395" t="s">
        <v>284</v>
      </c>
      <c r="P2" s="395">
        <v>18766300</v>
      </c>
      <c r="Q2" s="472"/>
      <c r="R2" s="472"/>
      <c r="S2" s="476"/>
      <c r="T2" s="472"/>
    </row>
    <row r="3" spans="1:20" ht="24.95" customHeight="1" x14ac:dyDescent="0.3">
      <c r="A3" s="3513" t="s">
        <v>0</v>
      </c>
      <c r="B3" s="3519" t="s">
        <v>6</v>
      </c>
      <c r="C3" s="3519"/>
      <c r="D3" s="3519"/>
      <c r="E3" s="3520" t="s">
        <v>2</v>
      </c>
      <c r="F3" s="3520"/>
      <c r="G3" s="3520"/>
      <c r="I3" s="3516" t="s">
        <v>0</v>
      </c>
      <c r="J3" s="3520" t="s">
        <v>28</v>
      </c>
      <c r="K3" s="3520"/>
      <c r="L3" s="3520"/>
      <c r="N3" s="417" t="s">
        <v>304</v>
      </c>
      <c r="Q3" s="472"/>
      <c r="R3" s="472"/>
      <c r="S3" s="472"/>
      <c r="T3" s="472"/>
    </row>
    <row r="4" spans="1:20" ht="24.95" customHeight="1" x14ac:dyDescent="0.3">
      <c r="A4" s="3514"/>
      <c r="B4" s="418" t="s">
        <v>28</v>
      </c>
      <c r="C4" s="723" t="s">
        <v>34</v>
      </c>
      <c r="D4" s="731" t="s">
        <v>62</v>
      </c>
      <c r="E4" s="380" t="s">
        <v>28</v>
      </c>
      <c r="F4" s="723" t="s">
        <v>34</v>
      </c>
      <c r="G4" s="731" t="s">
        <v>62</v>
      </c>
      <c r="I4" s="3517"/>
      <c r="J4" s="380" t="s">
        <v>28</v>
      </c>
      <c r="K4" s="723" t="s">
        <v>34</v>
      </c>
      <c r="L4" s="731" t="s">
        <v>62</v>
      </c>
    </row>
    <row r="5" spans="1:20" ht="24.95" customHeight="1" thickBot="1" x14ac:dyDescent="0.35">
      <c r="A5" s="419" t="s">
        <v>28</v>
      </c>
      <c r="B5" s="420">
        <f t="shared" ref="B5:G5" si="0">SUM(B6+B10+B20)</f>
        <v>0</v>
      </c>
      <c r="C5" s="724">
        <f t="shared" si="0"/>
        <v>0</v>
      </c>
      <c r="D5" s="732">
        <f t="shared" si="0"/>
        <v>0</v>
      </c>
      <c r="E5" s="367">
        <f t="shared" si="0"/>
        <v>0</v>
      </c>
      <c r="F5" s="724">
        <f t="shared" si="0"/>
        <v>0</v>
      </c>
      <c r="G5" s="732">
        <f t="shared" si="0"/>
        <v>0</v>
      </c>
      <c r="I5" s="525" t="s">
        <v>28</v>
      </c>
      <c r="J5" s="367">
        <f>SUM(K5:L5)</f>
        <v>0</v>
      </c>
      <c r="K5" s="724">
        <f>+F76</f>
        <v>0</v>
      </c>
      <c r="L5" s="732">
        <f>+G76</f>
        <v>0</v>
      </c>
    </row>
    <row r="6" spans="1:20" s="415" customFormat="1" ht="24.95" customHeight="1" thickTop="1" x14ac:dyDescent="0.3">
      <c r="A6" s="369" t="s">
        <v>7</v>
      </c>
      <c r="B6" s="421">
        <f t="shared" ref="B6:G6" si="1">SUM(B7:B8)</f>
        <v>0</v>
      </c>
      <c r="C6" s="725">
        <f t="shared" si="1"/>
        <v>0</v>
      </c>
      <c r="D6" s="733">
        <f t="shared" si="1"/>
        <v>0</v>
      </c>
      <c r="E6" s="370">
        <f t="shared" si="1"/>
        <v>0</v>
      </c>
      <c r="F6" s="725">
        <f t="shared" si="1"/>
        <v>0</v>
      </c>
      <c r="G6" s="733">
        <f t="shared" si="1"/>
        <v>0</v>
      </c>
      <c r="I6" s="369" t="s">
        <v>7</v>
      </c>
      <c r="J6" s="370">
        <f>SUM(K6:L6)</f>
        <v>0</v>
      </c>
      <c r="K6" s="725">
        <f>SUM(K7:K8)</f>
        <v>0</v>
      </c>
      <c r="L6" s="733">
        <f>SUM(L7:L8)</f>
        <v>0</v>
      </c>
    </row>
    <row r="7" spans="1:20" ht="24.95" customHeight="1" x14ac:dyDescent="0.3">
      <c r="A7" s="398" t="s">
        <v>8</v>
      </c>
      <c r="B7" s="422">
        <f>SUM(C7:D7)</f>
        <v>0</v>
      </c>
      <c r="C7" s="726">
        <f>+'[27]16.โครงการ'!$BB$4</f>
        <v>0</v>
      </c>
      <c r="D7" s="734">
        <f>+'[27]16.โครงการ'!$BC$4</f>
        <v>0</v>
      </c>
      <c r="E7" s="372">
        <f>SUM(F7:G7)</f>
        <v>0</v>
      </c>
      <c r="F7" s="726">
        <f>+'[28]16.โครงการ'!$BB$4</f>
        <v>0</v>
      </c>
      <c r="G7" s="734">
        <f>+'[28]16.โครงการ'!$BC$4</f>
        <v>0</v>
      </c>
      <c r="I7" s="398" t="s">
        <v>8</v>
      </c>
      <c r="J7" s="372">
        <f>SUM(K7:L7)</f>
        <v>0</v>
      </c>
      <c r="K7" s="726">
        <f>+C7+F7+C41+F41+C78+F78+C119+F119+C156+F156</f>
        <v>0</v>
      </c>
      <c r="L7" s="734">
        <f>+D7+G7+D41+G41+D78+G78+D119+G119+D156+G156</f>
        <v>0</v>
      </c>
    </row>
    <row r="8" spans="1:20" ht="24.95" customHeight="1" x14ac:dyDescent="0.3">
      <c r="A8" s="398" t="s">
        <v>306</v>
      </c>
      <c r="B8" s="422">
        <f>SUM(C8:D8)</f>
        <v>0</v>
      </c>
      <c r="C8" s="726">
        <f>+'[27]16.โครงการ'!$BB$36</f>
        <v>0</v>
      </c>
      <c r="D8" s="734">
        <f>+'[27]16.โครงการ'!$BC$36</f>
        <v>0</v>
      </c>
      <c r="E8" s="372">
        <f>SUM(F8:G8)</f>
        <v>0</v>
      </c>
      <c r="F8" s="726">
        <f>+'[28]16.โครงการ'!$BB$36</f>
        <v>0</v>
      </c>
      <c r="G8" s="734">
        <f>+'[28]16.โครงการ'!$BC$36</f>
        <v>0</v>
      </c>
      <c r="I8" s="398" t="s">
        <v>306</v>
      </c>
      <c r="J8" s="372">
        <f>SUM(K8:L8)</f>
        <v>0</v>
      </c>
      <c r="K8" s="726">
        <f>+C8+F8+C42+F42+C79+F79+C120+F120+C157+F157</f>
        <v>0</v>
      </c>
      <c r="L8" s="734">
        <f>+D8+G8+D42+G42+D79+G79+D120+G120+D157+G157</f>
        <v>0</v>
      </c>
    </row>
    <row r="9" spans="1:20" ht="24.95" customHeight="1" x14ac:dyDescent="0.3">
      <c r="A9" s="372"/>
      <c r="B9" s="422"/>
      <c r="C9" s="726"/>
      <c r="D9" s="734"/>
      <c r="E9" s="372"/>
      <c r="F9" s="726"/>
      <c r="G9" s="734"/>
      <c r="I9" s="372"/>
      <c r="J9" s="372"/>
      <c r="K9" s="726"/>
      <c r="L9" s="734"/>
    </row>
    <row r="10" spans="1:20" s="415" customFormat="1" ht="24.95" customHeight="1" x14ac:dyDescent="0.3">
      <c r="A10" s="526" t="s">
        <v>9</v>
      </c>
      <c r="B10" s="423">
        <f>SUM(B11:B19)</f>
        <v>0</v>
      </c>
      <c r="C10" s="727">
        <f>SUM(C11:C19)</f>
        <v>0</v>
      </c>
      <c r="D10" s="735">
        <f>SUM(D11:D19)</f>
        <v>0</v>
      </c>
      <c r="E10" s="375">
        <f>SUM(E11:E19)</f>
        <v>0</v>
      </c>
      <c r="F10" s="727">
        <f>SUM(F11:F19)</f>
        <v>0</v>
      </c>
      <c r="G10" s="735">
        <f>SUM(G11:G16)</f>
        <v>0</v>
      </c>
      <c r="I10" s="526" t="s">
        <v>9</v>
      </c>
      <c r="J10" s="375">
        <f>SUM(K10:L10)</f>
        <v>0</v>
      </c>
      <c r="K10" s="727">
        <f>SUM(K11:K18)</f>
        <v>0</v>
      </c>
      <c r="L10" s="735">
        <f>SUM(L11:L18)</f>
        <v>0</v>
      </c>
    </row>
    <row r="11" spans="1:20" ht="24.95" customHeight="1" x14ac:dyDescent="0.3">
      <c r="A11" s="372" t="s">
        <v>308</v>
      </c>
      <c r="B11" s="422">
        <f t="shared" ref="B11:B19" si="2">SUM(C11:D11)</f>
        <v>0</v>
      </c>
      <c r="C11" s="726">
        <f>+'[27]16.โครงการ'!$BB$69</f>
        <v>0</v>
      </c>
      <c r="D11" s="734">
        <f>+'[27]16.โครงการ'!$BC$69</f>
        <v>0</v>
      </c>
      <c r="E11" s="372">
        <f t="shared" ref="E11:E19" si="3">SUM(F11:G11)</f>
        <v>0</v>
      </c>
      <c r="F11" s="726">
        <f>+'[28]16.โครงการ'!$BB$69</f>
        <v>0</v>
      </c>
      <c r="G11" s="734">
        <f>+'[28]16.โครงการ'!$BC$69</f>
        <v>0</v>
      </c>
      <c r="I11" s="372" t="s">
        <v>308</v>
      </c>
      <c r="J11" s="372">
        <f t="shared" ref="J11:J16" si="4">SUM(K11:L11)</f>
        <v>0</v>
      </c>
      <c r="K11" s="726">
        <f>+C11+F11+C45+F45+C82+F82+C123+F123+C160+F160</f>
        <v>0</v>
      </c>
      <c r="L11" s="734">
        <f>+D11+G11+D45+G45+D82+G82+D123+G123+D160+G160</f>
        <v>0</v>
      </c>
    </row>
    <row r="12" spans="1:20" ht="24.95" customHeight="1" x14ac:dyDescent="0.3">
      <c r="A12" s="372" t="s">
        <v>309</v>
      </c>
      <c r="B12" s="422">
        <f t="shared" si="2"/>
        <v>0</v>
      </c>
      <c r="C12" s="726">
        <f>+'[27]16.โครงการ'!$BB$102</f>
        <v>0</v>
      </c>
      <c r="D12" s="734">
        <f>+'[27]16.โครงการ'!$BC$102</f>
        <v>0</v>
      </c>
      <c r="E12" s="372">
        <f t="shared" si="3"/>
        <v>0</v>
      </c>
      <c r="F12" s="726">
        <f>+'[28]16.โครงการ'!$BB$102</f>
        <v>0</v>
      </c>
      <c r="G12" s="734">
        <f>+'[28]16.โครงการ'!$BC$102</f>
        <v>0</v>
      </c>
      <c r="I12" s="372" t="s">
        <v>309</v>
      </c>
      <c r="J12" s="372">
        <f t="shared" si="4"/>
        <v>0</v>
      </c>
      <c r="K12" s="726">
        <f t="shared" ref="K12:L17" si="5">+C12+F12+C46+F46+C83+F83+C124+F124+C161+F161</f>
        <v>0</v>
      </c>
      <c r="L12" s="734">
        <f t="shared" si="5"/>
        <v>0</v>
      </c>
    </row>
    <row r="13" spans="1:20" ht="24.95" customHeight="1" x14ac:dyDescent="0.3">
      <c r="A13" s="372" t="s">
        <v>310</v>
      </c>
      <c r="B13" s="422">
        <f t="shared" si="2"/>
        <v>0</v>
      </c>
      <c r="C13" s="726">
        <f>+'[27]16.โครงการ'!$BB$135</f>
        <v>0</v>
      </c>
      <c r="D13" s="734">
        <f>+'[27]16.โครงการ'!$BC$135</f>
        <v>0</v>
      </c>
      <c r="E13" s="372">
        <f>SUM(F13:G13)</f>
        <v>0</v>
      </c>
      <c r="F13" s="726">
        <f>+'[28]16.โครงการ'!$BB$135</f>
        <v>0</v>
      </c>
      <c r="G13" s="734">
        <f>+'[28]16.โครงการ'!$BC$135</f>
        <v>0</v>
      </c>
      <c r="I13" s="372" t="s">
        <v>310</v>
      </c>
      <c r="J13" s="372">
        <f t="shared" si="4"/>
        <v>0</v>
      </c>
      <c r="K13" s="726">
        <f t="shared" si="5"/>
        <v>0</v>
      </c>
      <c r="L13" s="734">
        <f t="shared" si="5"/>
        <v>0</v>
      </c>
    </row>
    <row r="14" spans="1:20" ht="24.95" customHeight="1" x14ac:dyDescent="0.3">
      <c r="A14" s="372" t="s">
        <v>311</v>
      </c>
      <c r="B14" s="422">
        <f t="shared" si="2"/>
        <v>0</v>
      </c>
      <c r="C14" s="726">
        <f>+'[27]16.โครงการ'!$BB$168</f>
        <v>0</v>
      </c>
      <c r="D14" s="734">
        <f>+'[27]16.โครงการ'!$BC$168</f>
        <v>0</v>
      </c>
      <c r="E14" s="372">
        <f t="shared" si="3"/>
        <v>0</v>
      </c>
      <c r="F14" s="726">
        <f>+'[28]16.โครงการ'!$BB$168</f>
        <v>0</v>
      </c>
      <c r="G14" s="734">
        <f>+'[28]16.โครงการ'!$BC$168</f>
        <v>0</v>
      </c>
      <c r="I14" s="372" t="s">
        <v>311</v>
      </c>
      <c r="J14" s="372">
        <f t="shared" si="4"/>
        <v>0</v>
      </c>
      <c r="K14" s="726">
        <f t="shared" si="5"/>
        <v>0</v>
      </c>
      <c r="L14" s="734">
        <f t="shared" si="5"/>
        <v>0</v>
      </c>
    </row>
    <row r="15" spans="1:20" ht="24.95" customHeight="1" x14ac:dyDescent="0.3">
      <c r="A15" s="372" t="s">
        <v>312</v>
      </c>
      <c r="B15" s="422">
        <f t="shared" si="2"/>
        <v>0</v>
      </c>
      <c r="C15" s="726">
        <f>+'[27]16.โครงการ'!$BB$102</f>
        <v>0</v>
      </c>
      <c r="D15" s="734">
        <f>+'[27]16.โครงการ'!$BC$201</f>
        <v>0</v>
      </c>
      <c r="E15" s="372">
        <f>SUM(F15:G15)</f>
        <v>0</v>
      </c>
      <c r="F15" s="726">
        <f>+'[28]16.โครงการ'!$BB$201</f>
        <v>0</v>
      </c>
      <c r="G15" s="734">
        <f>+'[28]16.โครงการ'!$BC$201</f>
        <v>0</v>
      </c>
      <c r="I15" s="372" t="s">
        <v>312</v>
      </c>
      <c r="J15" s="372">
        <f t="shared" si="4"/>
        <v>0</v>
      </c>
      <c r="K15" s="726">
        <f t="shared" si="5"/>
        <v>0</v>
      </c>
      <c r="L15" s="734">
        <f t="shared" si="5"/>
        <v>0</v>
      </c>
    </row>
    <row r="16" spans="1:20" ht="24.95" customHeight="1" x14ac:dyDescent="0.3">
      <c r="A16" s="372" t="s">
        <v>313</v>
      </c>
      <c r="B16" s="422">
        <f t="shared" si="2"/>
        <v>0</v>
      </c>
      <c r="C16" s="726">
        <f>+'[27]16.โครงการ'!$BB$498</f>
        <v>0</v>
      </c>
      <c r="D16" s="734">
        <f>+'[27]16.โครงการ'!$BC$498</f>
        <v>0</v>
      </c>
      <c r="E16" s="372">
        <f t="shared" si="3"/>
        <v>0</v>
      </c>
      <c r="F16" s="726">
        <f>+'[28]16.โครงการ'!$BB$498</f>
        <v>0</v>
      </c>
      <c r="G16" s="734">
        <f>+'[28]16.โครงการ'!$BC$498</f>
        <v>0</v>
      </c>
      <c r="I16" s="372" t="s">
        <v>313</v>
      </c>
      <c r="J16" s="372">
        <f t="shared" si="4"/>
        <v>0</v>
      </c>
      <c r="K16" s="726">
        <f t="shared" si="5"/>
        <v>0</v>
      </c>
      <c r="L16" s="734">
        <f t="shared" si="5"/>
        <v>0</v>
      </c>
    </row>
    <row r="17" spans="1:12" ht="24.95" customHeight="1" x14ac:dyDescent="0.3">
      <c r="A17" s="372" t="s">
        <v>314</v>
      </c>
      <c r="B17" s="422">
        <f t="shared" si="2"/>
        <v>0</v>
      </c>
      <c r="C17" s="726">
        <f>+'[27]16.โครงการ'!$BB$531</f>
        <v>0</v>
      </c>
      <c r="D17" s="734">
        <f>+'[27]16.โครงการ'!$BC$531</f>
        <v>0</v>
      </c>
      <c r="E17" s="372">
        <f t="shared" si="3"/>
        <v>0</v>
      </c>
      <c r="F17" s="726">
        <f>+'[28]16.โครงการ'!$BB$531</f>
        <v>0</v>
      </c>
      <c r="G17" s="734">
        <f>+'[28]16.โครงการ'!$BC$531</f>
        <v>0</v>
      </c>
      <c r="I17" s="372" t="s">
        <v>314</v>
      </c>
      <c r="J17" s="372">
        <f>SUM(K17:L17)</f>
        <v>0</v>
      </c>
      <c r="K17" s="726">
        <f t="shared" si="5"/>
        <v>0</v>
      </c>
      <c r="L17" s="734">
        <f t="shared" si="5"/>
        <v>0</v>
      </c>
    </row>
    <row r="18" spans="1:12" ht="24.95" customHeight="1" x14ac:dyDescent="0.3">
      <c r="A18" s="372" t="s">
        <v>315</v>
      </c>
      <c r="B18" s="422">
        <f t="shared" si="2"/>
        <v>0</v>
      </c>
      <c r="C18" s="726">
        <f>+'[27]16.โครงการ'!$BB$564</f>
        <v>0</v>
      </c>
      <c r="D18" s="734">
        <f>+'[27]16.โครงการ'!$BC$564</f>
        <v>0</v>
      </c>
      <c r="E18" s="372">
        <f t="shared" si="3"/>
        <v>0</v>
      </c>
      <c r="F18" s="726">
        <f>+'[28]16.โครงการ'!$BB$564</f>
        <v>0</v>
      </c>
      <c r="G18" s="734">
        <f>+'[28]16.โครงการ'!$BC$564</f>
        <v>0</v>
      </c>
      <c r="I18" s="372" t="s">
        <v>315</v>
      </c>
      <c r="J18" s="372">
        <f>SUM(K18:L18)</f>
        <v>0</v>
      </c>
      <c r="K18" s="726">
        <f>+C18+F18+C52+F52+C89+F89+C130+F130+C167+F167</f>
        <v>0</v>
      </c>
      <c r="L18" s="734">
        <f>+D18+G18+D52+G52+D89+G89+D130+G130+D167+G167</f>
        <v>0</v>
      </c>
    </row>
    <row r="19" spans="1:12" ht="24.95" customHeight="1" x14ac:dyDescent="0.3">
      <c r="A19" s="372" t="s">
        <v>390</v>
      </c>
      <c r="B19" s="422">
        <f t="shared" si="2"/>
        <v>0</v>
      </c>
      <c r="C19" s="726">
        <f>+'[27]16.โครงการ'!$BB$595</f>
        <v>0</v>
      </c>
      <c r="D19" s="734">
        <f>+'[27]16.โครงการ'!$BC$595</f>
        <v>0</v>
      </c>
      <c r="E19" s="372">
        <f t="shared" si="3"/>
        <v>0</v>
      </c>
      <c r="F19" s="726">
        <f>+'[28]16.โครงการ'!$BB$595</f>
        <v>0</v>
      </c>
      <c r="G19" s="734">
        <f>+'[28]16.โครงการ'!$BC$595</f>
        <v>0</v>
      </c>
      <c r="I19" s="372" t="s">
        <v>390</v>
      </c>
      <c r="J19" s="372"/>
      <c r="K19" s="726"/>
      <c r="L19" s="734"/>
    </row>
    <row r="20" spans="1:12" s="415" customFormat="1" ht="24.95" customHeight="1" x14ac:dyDescent="0.3">
      <c r="A20" s="526" t="s">
        <v>12</v>
      </c>
      <c r="B20" s="423">
        <f t="shared" ref="B20:G20" si="6">SUM(B21:B24)</f>
        <v>0</v>
      </c>
      <c r="C20" s="727">
        <f t="shared" si="6"/>
        <v>0</v>
      </c>
      <c r="D20" s="735">
        <f t="shared" si="6"/>
        <v>0</v>
      </c>
      <c r="E20" s="375">
        <f t="shared" si="6"/>
        <v>0</v>
      </c>
      <c r="F20" s="727">
        <f t="shared" si="6"/>
        <v>0</v>
      </c>
      <c r="G20" s="735">
        <f t="shared" si="6"/>
        <v>0</v>
      </c>
      <c r="I20" s="526" t="s">
        <v>12</v>
      </c>
      <c r="J20" s="375">
        <f>SUM(K20:L20)</f>
        <v>0</v>
      </c>
      <c r="K20" s="727">
        <f>SUM(K21:K24)</f>
        <v>0</v>
      </c>
      <c r="L20" s="735">
        <f>SUM(L21:L24)</f>
        <v>0</v>
      </c>
    </row>
    <row r="21" spans="1:12" ht="24.95" customHeight="1" x14ac:dyDescent="0.3">
      <c r="A21" s="372" t="s">
        <v>391</v>
      </c>
      <c r="B21" s="422">
        <f>SUM(C21:D21)</f>
        <v>0</v>
      </c>
      <c r="C21" s="726">
        <f>+'[27]16.โครงการ'!$BB$634</f>
        <v>0</v>
      </c>
      <c r="D21" s="734">
        <f>+'[27]16.โครงการ'!$BC$634</f>
        <v>0</v>
      </c>
      <c r="E21" s="372">
        <f>SUM(F21:G21)</f>
        <v>0</v>
      </c>
      <c r="F21" s="726">
        <f>+'[28]16.โครงการ'!$BB$634</f>
        <v>0</v>
      </c>
      <c r="G21" s="734">
        <f>+'[28]16.โครงการ'!$BC$634</f>
        <v>0</v>
      </c>
      <c r="I21" s="372" t="s">
        <v>391</v>
      </c>
      <c r="J21" s="372">
        <f>SUM(K21:L21)</f>
        <v>0</v>
      </c>
      <c r="K21" s="726">
        <f t="shared" ref="K21:L24" si="7">+C21+F21+C55+F55+C92+F92+C133+F133+C170+F170</f>
        <v>0</v>
      </c>
      <c r="L21" s="734">
        <f t="shared" si="7"/>
        <v>0</v>
      </c>
    </row>
    <row r="22" spans="1:12" ht="24.95" customHeight="1" x14ac:dyDescent="0.3">
      <c r="A22" s="372" t="s">
        <v>392</v>
      </c>
      <c r="B22" s="422">
        <f>SUM(C22:D22)</f>
        <v>0</v>
      </c>
      <c r="C22" s="726">
        <f>+'[27]16.โครงการ'!$BB$667</f>
        <v>0</v>
      </c>
      <c r="D22" s="734">
        <f>+'[27]16.โครงการ'!$BC$667</f>
        <v>0</v>
      </c>
      <c r="E22" s="372">
        <f>SUM(F22:G22)</f>
        <v>0</v>
      </c>
      <c r="F22" s="726">
        <f>+'[28]16.โครงการ'!$BB$667</f>
        <v>0</v>
      </c>
      <c r="G22" s="734">
        <f>+'[28]16.โครงการ'!$BC$667</f>
        <v>0</v>
      </c>
      <c r="I22" s="372" t="s">
        <v>392</v>
      </c>
      <c r="J22" s="372">
        <f>SUM(K22:L22)</f>
        <v>0</v>
      </c>
      <c r="K22" s="726">
        <f t="shared" si="7"/>
        <v>0</v>
      </c>
      <c r="L22" s="734">
        <f t="shared" si="7"/>
        <v>0</v>
      </c>
    </row>
    <row r="23" spans="1:12" ht="24.95" customHeight="1" x14ac:dyDescent="0.3">
      <c r="A23" s="372" t="s">
        <v>393</v>
      </c>
      <c r="B23" s="422">
        <f>SUM(C23:D23)</f>
        <v>0</v>
      </c>
      <c r="C23" s="726">
        <f>+'[27]16.โครงการ'!$BB$700</f>
        <v>0</v>
      </c>
      <c r="D23" s="734">
        <f>+'[27]16.โครงการ'!$BC$700</f>
        <v>0</v>
      </c>
      <c r="E23" s="372">
        <f>SUM(F23:G23)</f>
        <v>0</v>
      </c>
      <c r="F23" s="726">
        <f>+'[28]16.โครงการ'!$BB$700</f>
        <v>0</v>
      </c>
      <c r="G23" s="734">
        <f>+'[28]16.โครงการ'!$BC$700</f>
        <v>0</v>
      </c>
      <c r="I23" s="372" t="s">
        <v>393</v>
      </c>
      <c r="J23" s="372">
        <f>SUM(K23:L23)</f>
        <v>0</v>
      </c>
      <c r="K23" s="726">
        <f t="shared" si="7"/>
        <v>0</v>
      </c>
      <c r="L23" s="734">
        <f t="shared" si="7"/>
        <v>0</v>
      </c>
    </row>
    <row r="24" spans="1:12" ht="24.95" customHeight="1" x14ac:dyDescent="0.3">
      <c r="A24" s="372" t="s">
        <v>394</v>
      </c>
      <c r="B24" s="422">
        <f>SUM(C24:D24)</f>
        <v>0</v>
      </c>
      <c r="C24" s="726">
        <f>+'[27]16.โครงการ'!$BB$733</f>
        <v>0</v>
      </c>
      <c r="D24" s="734">
        <f>+'[27]16.โครงการ'!$BC$733</f>
        <v>0</v>
      </c>
      <c r="E24" s="372">
        <f>SUM(F24:G24)</f>
        <v>0</v>
      </c>
      <c r="F24" s="726">
        <f>+'[28]16.โครงการ'!$BB$733</f>
        <v>0</v>
      </c>
      <c r="G24" s="734">
        <f>+'[28]16.โครงการ'!$BC$733</f>
        <v>0</v>
      </c>
      <c r="I24" s="372" t="s">
        <v>394</v>
      </c>
      <c r="J24" s="372">
        <f>SUM(K24:L24)</f>
        <v>0</v>
      </c>
      <c r="K24" s="726">
        <f t="shared" si="7"/>
        <v>0</v>
      </c>
      <c r="L24" s="734">
        <f t="shared" si="7"/>
        <v>0</v>
      </c>
    </row>
    <row r="25" spans="1:12" ht="24.95" customHeight="1" x14ac:dyDescent="0.3">
      <c r="A25" s="413"/>
      <c r="B25" s="424"/>
      <c r="C25" s="728"/>
      <c r="D25" s="736"/>
      <c r="E25" s="377"/>
      <c r="F25" s="728"/>
      <c r="G25" s="736"/>
      <c r="I25" s="377"/>
      <c r="J25" s="377"/>
      <c r="K25" s="728"/>
      <c r="L25" s="736"/>
    </row>
    <row r="26" spans="1:12" x14ac:dyDescent="0.3">
      <c r="K26" s="339"/>
      <c r="L26" s="339"/>
    </row>
    <row r="27" spans="1:12" x14ac:dyDescent="0.3">
      <c r="K27" s="339"/>
      <c r="L27" s="339"/>
    </row>
    <row r="28" spans="1:12" x14ac:dyDescent="0.3">
      <c r="K28" s="339"/>
      <c r="L28" s="339"/>
    </row>
    <row r="29" spans="1:12" x14ac:dyDescent="0.3">
      <c r="K29" s="339"/>
      <c r="L29" s="339"/>
    </row>
    <row r="30" spans="1:12" x14ac:dyDescent="0.3">
      <c r="K30" s="339"/>
      <c r="L30" s="339"/>
    </row>
    <row r="31" spans="1:12" x14ac:dyDescent="0.3">
      <c r="K31" s="339"/>
      <c r="L31" s="339"/>
    </row>
    <row r="32" spans="1:12" x14ac:dyDescent="0.3">
      <c r="K32" s="339"/>
      <c r="L32" s="339"/>
    </row>
    <row r="33" spans="1:12" x14ac:dyDescent="0.3">
      <c r="K33" s="339"/>
      <c r="L33" s="339"/>
    </row>
    <row r="34" spans="1:12" x14ac:dyDescent="0.3">
      <c r="K34" s="339"/>
      <c r="L34" s="339"/>
    </row>
    <row r="35" spans="1:12" x14ac:dyDescent="0.3">
      <c r="K35" s="339"/>
      <c r="L35" s="339"/>
    </row>
    <row r="36" spans="1:12" x14ac:dyDescent="0.3">
      <c r="K36" s="339"/>
      <c r="L36" s="339"/>
    </row>
    <row r="37" spans="1:12" x14ac:dyDescent="0.3">
      <c r="A37" s="3513" t="s">
        <v>0</v>
      </c>
      <c r="B37" s="3519" t="s">
        <v>1</v>
      </c>
      <c r="C37" s="3519"/>
      <c r="D37" s="3519"/>
      <c r="E37" s="3520" t="s">
        <v>3</v>
      </c>
      <c r="F37" s="3520"/>
      <c r="G37" s="3520"/>
      <c r="K37" s="339"/>
      <c r="L37" s="339"/>
    </row>
    <row r="38" spans="1:12" x14ac:dyDescent="0.3">
      <c r="A38" s="3514"/>
      <c r="B38" s="418" t="s">
        <v>28</v>
      </c>
      <c r="C38" s="723" t="s">
        <v>34</v>
      </c>
      <c r="D38" s="731" t="s">
        <v>62</v>
      </c>
      <c r="E38" s="380" t="s">
        <v>28</v>
      </c>
      <c r="F38" s="723" t="s">
        <v>34</v>
      </c>
      <c r="G38" s="731" t="s">
        <v>62</v>
      </c>
      <c r="K38" s="339"/>
      <c r="L38" s="339"/>
    </row>
    <row r="39" spans="1:12" ht="19.5" thickBot="1" x14ac:dyDescent="0.35">
      <c r="A39" s="419" t="s">
        <v>28</v>
      </c>
      <c r="B39" s="420">
        <f t="shared" ref="B39:G39" si="8">SUM(B40+B44+B54)</f>
        <v>0</v>
      </c>
      <c r="C39" s="724">
        <f t="shared" si="8"/>
        <v>0</v>
      </c>
      <c r="D39" s="737">
        <f t="shared" si="8"/>
        <v>0</v>
      </c>
      <c r="E39" s="367">
        <f t="shared" si="8"/>
        <v>0</v>
      </c>
      <c r="F39" s="724">
        <f t="shared" si="8"/>
        <v>0</v>
      </c>
      <c r="G39" s="732">
        <f t="shared" si="8"/>
        <v>0</v>
      </c>
      <c r="K39" s="339"/>
      <c r="L39" s="339"/>
    </row>
    <row r="40" spans="1:12" ht="19.5" thickTop="1" x14ac:dyDescent="0.3">
      <c r="A40" s="369" t="s">
        <v>7</v>
      </c>
      <c r="B40" s="421">
        <f t="shared" ref="B40:G40" si="9">SUM(B41:B42)</f>
        <v>0</v>
      </c>
      <c r="C40" s="725">
        <f t="shared" si="9"/>
        <v>0</v>
      </c>
      <c r="D40" s="733">
        <f t="shared" si="9"/>
        <v>0</v>
      </c>
      <c r="E40" s="370">
        <f t="shared" si="9"/>
        <v>0</v>
      </c>
      <c r="F40" s="725">
        <f t="shared" si="9"/>
        <v>0</v>
      </c>
      <c r="G40" s="733">
        <f t="shared" si="9"/>
        <v>0</v>
      </c>
      <c r="K40" s="339"/>
      <c r="L40" s="339"/>
    </row>
    <row r="41" spans="1:12" x14ac:dyDescent="0.3">
      <c r="A41" s="398" t="s">
        <v>8</v>
      </c>
      <c r="B41" s="422">
        <f>SUM(C41:D41)</f>
        <v>0</v>
      </c>
      <c r="C41" s="726"/>
      <c r="D41" s="734"/>
      <c r="E41" s="372">
        <f>SUM(F41:G41)</f>
        <v>0</v>
      </c>
      <c r="F41" s="726"/>
      <c r="G41" s="734"/>
      <c r="K41" s="339"/>
      <c r="L41" s="339"/>
    </row>
    <row r="42" spans="1:12" x14ac:dyDescent="0.3">
      <c r="A42" s="398" t="s">
        <v>306</v>
      </c>
      <c r="B42" s="422">
        <f>SUM(C42:D42)</f>
        <v>0</v>
      </c>
      <c r="C42" s="726"/>
      <c r="D42" s="734"/>
      <c r="E42" s="372">
        <f>SUM(F42:G42)</f>
        <v>0</v>
      </c>
      <c r="F42" s="726"/>
      <c r="G42" s="734"/>
      <c r="K42" s="339"/>
      <c r="L42" s="339"/>
    </row>
    <row r="43" spans="1:12" x14ac:dyDescent="0.3">
      <c r="A43" s="372"/>
      <c r="B43" s="422"/>
      <c r="C43" s="726"/>
      <c r="D43" s="734"/>
      <c r="E43" s="372"/>
      <c r="F43" s="726"/>
      <c r="G43" s="734"/>
      <c r="K43" s="339"/>
      <c r="L43" s="339"/>
    </row>
    <row r="44" spans="1:12" x14ac:dyDescent="0.3">
      <c r="A44" s="526" t="s">
        <v>9</v>
      </c>
      <c r="B44" s="423">
        <f t="shared" ref="B44:G44" si="10">SUM(B45:B50)</f>
        <v>0</v>
      </c>
      <c r="C44" s="727">
        <f t="shared" si="10"/>
        <v>0</v>
      </c>
      <c r="D44" s="735">
        <f t="shared" si="10"/>
        <v>0</v>
      </c>
      <c r="E44" s="375">
        <f t="shared" si="10"/>
        <v>0</v>
      </c>
      <c r="F44" s="727">
        <f t="shared" si="10"/>
        <v>0</v>
      </c>
      <c r="G44" s="735">
        <f t="shared" si="10"/>
        <v>0</v>
      </c>
      <c r="K44" s="339"/>
      <c r="L44" s="339"/>
    </row>
    <row r="45" spans="1:12" x14ac:dyDescent="0.3">
      <c r="A45" s="372" t="s">
        <v>308</v>
      </c>
      <c r="B45" s="422">
        <f t="shared" ref="B45:B50" si="11">SUM(C45:D45)</f>
        <v>0</v>
      </c>
      <c r="C45" s="726"/>
      <c r="D45" s="734"/>
      <c r="E45" s="372">
        <f t="shared" ref="E45:E50" si="12">SUM(F45:G45)</f>
        <v>0</v>
      </c>
      <c r="F45" s="726"/>
      <c r="G45" s="734"/>
      <c r="K45" s="339"/>
      <c r="L45" s="339"/>
    </row>
    <row r="46" spans="1:12" x14ac:dyDescent="0.3">
      <c r="A46" s="372" t="s">
        <v>309</v>
      </c>
      <c r="B46" s="422">
        <f t="shared" si="11"/>
        <v>0</v>
      </c>
      <c r="C46" s="726"/>
      <c r="D46" s="734"/>
      <c r="E46" s="372">
        <f t="shared" si="12"/>
        <v>0</v>
      </c>
      <c r="F46" s="726"/>
      <c r="G46" s="734"/>
      <c r="K46" s="339"/>
      <c r="L46" s="339"/>
    </row>
    <row r="47" spans="1:12" x14ac:dyDescent="0.3">
      <c r="A47" s="372" t="s">
        <v>310</v>
      </c>
      <c r="B47" s="422">
        <f t="shared" si="11"/>
        <v>0</v>
      </c>
      <c r="C47" s="726"/>
      <c r="D47" s="734"/>
      <c r="E47" s="372">
        <f t="shared" si="12"/>
        <v>0</v>
      </c>
      <c r="F47" s="726"/>
      <c r="G47" s="734"/>
      <c r="K47" s="339"/>
      <c r="L47" s="339"/>
    </row>
    <row r="48" spans="1:12" x14ac:dyDescent="0.3">
      <c r="A48" s="372" t="s">
        <v>311</v>
      </c>
      <c r="B48" s="422">
        <f t="shared" si="11"/>
        <v>0</v>
      </c>
      <c r="C48" s="726"/>
      <c r="D48" s="734"/>
      <c r="E48" s="372">
        <f t="shared" si="12"/>
        <v>0</v>
      </c>
      <c r="F48" s="726"/>
      <c r="G48" s="734"/>
      <c r="K48" s="339"/>
      <c r="L48" s="339"/>
    </row>
    <row r="49" spans="1:12" x14ac:dyDescent="0.3">
      <c r="A49" s="372" t="s">
        <v>312</v>
      </c>
      <c r="B49" s="422">
        <f t="shared" si="11"/>
        <v>0</v>
      </c>
      <c r="C49" s="726"/>
      <c r="D49" s="734"/>
      <c r="E49" s="372">
        <f t="shared" si="12"/>
        <v>0</v>
      </c>
      <c r="F49" s="726"/>
      <c r="G49" s="734"/>
      <c r="K49" s="339"/>
      <c r="L49" s="339"/>
    </row>
    <row r="50" spans="1:12" x14ac:dyDescent="0.3">
      <c r="A50" s="372" t="s">
        <v>313</v>
      </c>
      <c r="B50" s="422">
        <f t="shared" si="11"/>
        <v>0</v>
      </c>
      <c r="C50" s="726"/>
      <c r="D50" s="734"/>
      <c r="E50" s="372">
        <f t="shared" si="12"/>
        <v>0</v>
      </c>
      <c r="F50" s="726"/>
      <c r="G50" s="734"/>
      <c r="K50" s="339"/>
      <c r="L50" s="339"/>
    </row>
    <row r="51" spans="1:12" x14ac:dyDescent="0.3">
      <c r="A51" s="372" t="s">
        <v>314</v>
      </c>
      <c r="B51" s="422"/>
      <c r="C51" s="726"/>
      <c r="D51" s="734"/>
      <c r="E51" s="372"/>
      <c r="F51" s="726"/>
      <c r="G51" s="734"/>
      <c r="K51" s="339"/>
      <c r="L51" s="339"/>
    </row>
    <row r="52" spans="1:12" x14ac:dyDescent="0.3">
      <c r="A52" s="372" t="s">
        <v>315</v>
      </c>
      <c r="B52" s="422"/>
      <c r="C52" s="726"/>
      <c r="D52" s="734"/>
      <c r="E52" s="372"/>
      <c r="F52" s="726"/>
      <c r="G52" s="734"/>
      <c r="K52" s="339"/>
      <c r="L52" s="339"/>
    </row>
    <row r="53" spans="1:12" x14ac:dyDescent="0.3">
      <c r="A53" s="372" t="s">
        <v>390</v>
      </c>
      <c r="B53" s="422"/>
      <c r="C53" s="726"/>
      <c r="D53" s="734"/>
      <c r="E53" s="372"/>
      <c r="F53" s="726"/>
      <c r="G53" s="734"/>
      <c r="K53" s="339"/>
      <c r="L53" s="339"/>
    </row>
    <row r="54" spans="1:12" x14ac:dyDescent="0.3">
      <c r="A54" s="526" t="s">
        <v>12</v>
      </c>
      <c r="B54" s="423">
        <f t="shared" ref="B54:G54" si="13">SUM(B55:B58)</f>
        <v>0</v>
      </c>
      <c r="C54" s="727">
        <f t="shared" si="13"/>
        <v>0</v>
      </c>
      <c r="D54" s="735">
        <f t="shared" si="13"/>
        <v>0</v>
      </c>
      <c r="E54" s="375">
        <f t="shared" si="13"/>
        <v>0</v>
      </c>
      <c r="F54" s="727">
        <f t="shared" si="13"/>
        <v>0</v>
      </c>
      <c r="G54" s="735">
        <f t="shared" si="13"/>
        <v>0</v>
      </c>
      <c r="K54" s="339"/>
      <c r="L54" s="339"/>
    </row>
    <row r="55" spans="1:12" x14ac:dyDescent="0.3">
      <c r="A55" s="372" t="s">
        <v>391</v>
      </c>
      <c r="B55" s="422">
        <f>SUM(C55:D55)</f>
        <v>0</v>
      </c>
      <c r="C55" s="726"/>
      <c r="D55" s="734"/>
      <c r="E55" s="372">
        <f>SUM(F55:G55)</f>
        <v>0</v>
      </c>
      <c r="F55" s="726"/>
      <c r="G55" s="734"/>
      <c r="K55" s="339"/>
      <c r="L55" s="339"/>
    </row>
    <row r="56" spans="1:12" x14ac:dyDescent="0.3">
      <c r="A56" s="372" t="s">
        <v>392</v>
      </c>
      <c r="B56" s="422">
        <f>SUM(C56:D56)</f>
        <v>0</v>
      </c>
      <c r="C56" s="726"/>
      <c r="D56" s="734"/>
      <c r="E56" s="372">
        <f>SUM(F56:G56)</f>
        <v>0</v>
      </c>
      <c r="F56" s="726"/>
      <c r="G56" s="734"/>
      <c r="K56" s="339"/>
      <c r="L56" s="339"/>
    </row>
    <row r="57" spans="1:12" x14ac:dyDescent="0.3">
      <c r="A57" s="372" t="s">
        <v>393</v>
      </c>
      <c r="B57" s="422">
        <f>SUM(C57:D57)</f>
        <v>0</v>
      </c>
      <c r="C57" s="726"/>
      <c r="D57" s="734"/>
      <c r="E57" s="372">
        <f>SUM(F57:G57)</f>
        <v>0</v>
      </c>
      <c r="F57" s="726"/>
      <c r="G57" s="734"/>
      <c r="K57" s="339"/>
      <c r="L57" s="339"/>
    </row>
    <row r="58" spans="1:12" x14ac:dyDescent="0.3">
      <c r="A58" s="372" t="s">
        <v>394</v>
      </c>
      <c r="B58" s="422">
        <f>SUM(C58:D58)</f>
        <v>0</v>
      </c>
      <c r="C58" s="726"/>
      <c r="D58" s="734"/>
      <c r="E58" s="372">
        <f>SUM(F58:G58)</f>
        <v>0</v>
      </c>
      <c r="F58" s="726"/>
      <c r="G58" s="734"/>
      <c r="K58" s="339"/>
      <c r="L58" s="339"/>
    </row>
    <row r="59" spans="1:12" x14ac:dyDescent="0.3">
      <c r="A59" s="413"/>
      <c r="B59" s="424"/>
      <c r="C59" s="728"/>
      <c r="D59" s="736"/>
      <c r="E59" s="377"/>
      <c r="F59" s="728"/>
      <c r="G59" s="736"/>
      <c r="K59" s="339"/>
      <c r="L59" s="339"/>
    </row>
    <row r="60" spans="1:12" x14ac:dyDescent="0.3">
      <c r="K60" s="339"/>
      <c r="L60" s="339"/>
    </row>
    <row r="61" spans="1:12" x14ac:dyDescent="0.3">
      <c r="K61" s="339"/>
      <c r="L61" s="339"/>
    </row>
    <row r="62" spans="1:12" x14ac:dyDescent="0.3">
      <c r="K62" s="339"/>
      <c r="L62" s="339"/>
    </row>
    <row r="63" spans="1:12" x14ac:dyDescent="0.3">
      <c r="K63" s="339"/>
      <c r="L63" s="339"/>
    </row>
    <row r="64" spans="1:12" x14ac:dyDescent="0.3">
      <c r="K64" s="339"/>
      <c r="L64" s="339"/>
    </row>
    <row r="65" spans="1:12" x14ac:dyDescent="0.3">
      <c r="K65" s="339"/>
      <c r="L65" s="339"/>
    </row>
    <row r="66" spans="1:12" x14ac:dyDescent="0.3">
      <c r="K66" s="339"/>
      <c r="L66" s="339"/>
    </row>
    <row r="67" spans="1:12" x14ac:dyDescent="0.3">
      <c r="K67" s="339"/>
      <c r="L67" s="339"/>
    </row>
    <row r="68" spans="1:12" x14ac:dyDescent="0.3">
      <c r="K68" s="339"/>
      <c r="L68" s="339"/>
    </row>
    <row r="69" spans="1:12" x14ac:dyDescent="0.3">
      <c r="K69" s="339"/>
      <c r="L69" s="339"/>
    </row>
    <row r="70" spans="1:12" x14ac:dyDescent="0.3">
      <c r="K70" s="339"/>
      <c r="L70" s="339"/>
    </row>
    <row r="71" spans="1:12" x14ac:dyDescent="0.3">
      <c r="K71" s="339"/>
      <c r="L71" s="339"/>
    </row>
    <row r="72" spans="1:12" x14ac:dyDescent="0.3">
      <c r="K72" s="339"/>
      <c r="L72" s="339"/>
    </row>
    <row r="73" spans="1:12" x14ac:dyDescent="0.3">
      <c r="K73" s="339"/>
      <c r="L73" s="339"/>
    </row>
    <row r="74" spans="1:12" x14ac:dyDescent="0.3">
      <c r="A74" s="3513" t="s">
        <v>0</v>
      </c>
      <c r="B74" s="3519" t="s">
        <v>24</v>
      </c>
      <c r="C74" s="3519"/>
      <c r="D74" s="3519"/>
      <c r="E74" s="3520" t="s">
        <v>23</v>
      </c>
      <c r="F74" s="3520"/>
      <c r="G74" s="3520"/>
      <c r="K74" s="339"/>
      <c r="L74" s="339"/>
    </row>
    <row r="75" spans="1:12" x14ac:dyDescent="0.3">
      <c r="A75" s="3514"/>
      <c r="B75" s="418" t="s">
        <v>28</v>
      </c>
      <c r="C75" s="723" t="s">
        <v>34</v>
      </c>
      <c r="D75" s="731" t="s">
        <v>62</v>
      </c>
      <c r="E75" s="380" t="s">
        <v>28</v>
      </c>
      <c r="F75" s="723" t="s">
        <v>34</v>
      </c>
      <c r="G75" s="731" t="s">
        <v>62</v>
      </c>
      <c r="K75" s="339"/>
      <c r="L75" s="339"/>
    </row>
    <row r="76" spans="1:12" ht="19.5" thickBot="1" x14ac:dyDescent="0.35">
      <c r="A76" s="419" t="s">
        <v>28</v>
      </c>
      <c r="B76" s="420">
        <f t="shared" ref="B76:G76" si="14">SUM(B77+B81+B91)</f>
        <v>0</v>
      </c>
      <c r="C76" s="724">
        <f t="shared" si="14"/>
        <v>0</v>
      </c>
      <c r="D76" s="732">
        <f t="shared" si="14"/>
        <v>0</v>
      </c>
      <c r="E76" s="367">
        <f t="shared" si="14"/>
        <v>0</v>
      </c>
      <c r="F76" s="724">
        <f t="shared" si="14"/>
        <v>0</v>
      </c>
      <c r="G76" s="732">
        <f t="shared" si="14"/>
        <v>0</v>
      </c>
      <c r="K76" s="339"/>
      <c r="L76" s="339"/>
    </row>
    <row r="77" spans="1:12" ht="19.5" thickTop="1" x14ac:dyDescent="0.3">
      <c r="A77" s="369" t="s">
        <v>7</v>
      </c>
      <c r="B77" s="421">
        <f t="shared" ref="B77:G77" si="15">SUM(B78:B79)</f>
        <v>0</v>
      </c>
      <c r="C77" s="725">
        <f t="shared" si="15"/>
        <v>0</v>
      </c>
      <c r="D77" s="733">
        <f t="shared" si="15"/>
        <v>0</v>
      </c>
      <c r="E77" s="370">
        <f t="shared" si="15"/>
        <v>0</v>
      </c>
      <c r="F77" s="725">
        <f t="shared" si="15"/>
        <v>0</v>
      </c>
      <c r="G77" s="733">
        <f t="shared" si="15"/>
        <v>0</v>
      </c>
      <c r="K77" s="339"/>
      <c r="L77" s="339"/>
    </row>
    <row r="78" spans="1:12" s="596" customFormat="1" x14ac:dyDescent="0.3">
      <c r="A78" s="744" t="s">
        <v>8</v>
      </c>
      <c r="B78" s="745">
        <f>SUM(C78:D78)</f>
        <v>0</v>
      </c>
      <c r="C78" s="743"/>
      <c r="D78" s="741"/>
      <c r="E78" s="373">
        <f>SUM(F78:G78)</f>
        <v>0</v>
      </c>
      <c r="F78" s="743">
        <f>+'[26]16.โครงการ'!$CY$4</f>
        <v>0</v>
      </c>
      <c r="G78" s="741">
        <f>+'[26]16.โครงการ'!$CZ$4</f>
        <v>0</v>
      </c>
      <c r="I78" s="339"/>
      <c r="J78" s="339"/>
      <c r="K78" s="339"/>
      <c r="L78" s="339"/>
    </row>
    <row r="79" spans="1:12" x14ac:dyDescent="0.3">
      <c r="A79" s="398" t="s">
        <v>306</v>
      </c>
      <c r="B79" s="422">
        <f>SUM(C79:D79)</f>
        <v>0</v>
      </c>
      <c r="C79" s="726"/>
      <c r="D79" s="734"/>
      <c r="E79" s="372">
        <f>SUM(F79:G79)</f>
        <v>0</v>
      </c>
      <c r="F79" s="726">
        <f>+'[26]16.โครงการ'!$CY$36</f>
        <v>0</v>
      </c>
      <c r="G79" s="734">
        <f>+'[26]16.โครงการ'!$CZ$36</f>
        <v>0</v>
      </c>
      <c r="K79" s="339"/>
      <c r="L79" s="339"/>
    </row>
    <row r="80" spans="1:12" x14ac:dyDescent="0.3">
      <c r="A80" s="372"/>
      <c r="B80" s="422"/>
      <c r="C80" s="726"/>
      <c r="D80" s="734"/>
      <c r="E80" s="372"/>
      <c r="F80" s="726"/>
      <c r="G80" s="734"/>
      <c r="K80" s="339"/>
      <c r="L80" s="339"/>
    </row>
    <row r="81" spans="1:12" x14ac:dyDescent="0.3">
      <c r="A81" s="526" t="s">
        <v>9</v>
      </c>
      <c r="B81" s="423">
        <f t="shared" ref="B81:G81" si="16">SUM(B82:B87)</f>
        <v>0</v>
      </c>
      <c r="C81" s="727">
        <f t="shared" si="16"/>
        <v>0</v>
      </c>
      <c r="D81" s="735">
        <f t="shared" si="16"/>
        <v>0</v>
      </c>
      <c r="E81" s="375">
        <f t="shared" si="16"/>
        <v>0</v>
      </c>
      <c r="F81" s="727">
        <f t="shared" si="16"/>
        <v>0</v>
      </c>
      <c r="G81" s="735">
        <f t="shared" si="16"/>
        <v>0</v>
      </c>
      <c r="K81" s="339"/>
      <c r="L81" s="339"/>
    </row>
    <row r="82" spans="1:12" x14ac:dyDescent="0.3">
      <c r="A82" s="372" t="s">
        <v>308</v>
      </c>
      <c r="B82" s="422">
        <f t="shared" ref="B82:B87" si="17">SUM(C82:D82)</f>
        <v>0</v>
      </c>
      <c r="C82" s="726"/>
      <c r="D82" s="734"/>
      <c r="E82" s="372">
        <f t="shared" ref="E82:E87" si="18">SUM(F82:G82)</f>
        <v>0</v>
      </c>
      <c r="F82" s="726">
        <f>+'[26]16.โครงการ'!$CY$69</f>
        <v>0</v>
      </c>
      <c r="G82" s="734">
        <f>+'[26]16.โครงการ'!$CZ$69</f>
        <v>0</v>
      </c>
      <c r="K82" s="339"/>
      <c r="L82" s="339"/>
    </row>
    <row r="83" spans="1:12" x14ac:dyDescent="0.3">
      <c r="A83" s="372" t="s">
        <v>309</v>
      </c>
      <c r="B83" s="422">
        <f t="shared" si="17"/>
        <v>0</v>
      </c>
      <c r="C83" s="726"/>
      <c r="D83" s="734"/>
      <c r="E83" s="372">
        <f t="shared" si="18"/>
        <v>0</v>
      </c>
      <c r="F83" s="726">
        <f>+'[26]16.โครงการ'!$CY$102</f>
        <v>0</v>
      </c>
      <c r="G83" s="734">
        <f>+'[26]16.โครงการ'!$CZ$102</f>
        <v>0</v>
      </c>
      <c r="K83" s="339"/>
      <c r="L83" s="339"/>
    </row>
    <row r="84" spans="1:12" x14ac:dyDescent="0.3">
      <c r="A84" s="372" t="s">
        <v>310</v>
      </c>
      <c r="B84" s="422">
        <f t="shared" si="17"/>
        <v>0</v>
      </c>
      <c r="C84" s="726"/>
      <c r="D84" s="734"/>
      <c r="E84" s="372">
        <f t="shared" si="18"/>
        <v>0</v>
      </c>
      <c r="F84" s="726">
        <f>+'[26]16.โครงการ'!$CY$135</f>
        <v>0</v>
      </c>
      <c r="G84" s="734">
        <f>+'[26]16.โครงการ'!$CZ$135</f>
        <v>0</v>
      </c>
      <c r="K84" s="339"/>
      <c r="L84" s="339"/>
    </row>
    <row r="85" spans="1:12" x14ac:dyDescent="0.3">
      <c r="A85" s="372" t="s">
        <v>311</v>
      </c>
      <c r="B85" s="422">
        <f t="shared" si="17"/>
        <v>0</v>
      </c>
      <c r="C85" s="726"/>
      <c r="D85" s="734"/>
      <c r="E85" s="372">
        <f t="shared" si="18"/>
        <v>0</v>
      </c>
      <c r="F85" s="726">
        <f>+'[26]16.โครงการ'!$CY$168</f>
        <v>0</v>
      </c>
      <c r="G85" s="734">
        <f>+'[26]16.โครงการ'!$CZ$168</f>
        <v>0</v>
      </c>
      <c r="K85" s="339"/>
      <c r="L85" s="339"/>
    </row>
    <row r="86" spans="1:12" x14ac:dyDescent="0.3">
      <c r="A86" s="372" t="s">
        <v>312</v>
      </c>
      <c r="B86" s="422">
        <f t="shared" si="17"/>
        <v>0</v>
      </c>
      <c r="C86" s="726"/>
      <c r="D86" s="734"/>
      <c r="E86" s="372">
        <f t="shared" si="18"/>
        <v>0</v>
      </c>
      <c r="F86" s="726">
        <f>+'[26]16.โครงการ'!$CY$201</f>
        <v>0</v>
      </c>
      <c r="G86" s="734">
        <f>+'[26]16.โครงการ'!$CZ$201</f>
        <v>0</v>
      </c>
      <c r="K86" s="339"/>
      <c r="L86" s="339"/>
    </row>
    <row r="87" spans="1:12" x14ac:dyDescent="0.3">
      <c r="A87" s="372" t="s">
        <v>313</v>
      </c>
      <c r="B87" s="422">
        <f t="shared" si="17"/>
        <v>0</v>
      </c>
      <c r="C87" s="726"/>
      <c r="D87" s="734"/>
      <c r="E87" s="372">
        <f t="shared" si="18"/>
        <v>0</v>
      </c>
      <c r="F87" s="726">
        <f>+'[26]16.โครงการ'!$CY$507</f>
        <v>0</v>
      </c>
      <c r="G87" s="734">
        <f>+'[26]16.โครงการ'!$CZ$507</f>
        <v>0</v>
      </c>
      <c r="K87" s="339"/>
      <c r="L87" s="339"/>
    </row>
    <row r="88" spans="1:12" x14ac:dyDescent="0.3">
      <c r="A88" s="372" t="s">
        <v>314</v>
      </c>
      <c r="B88" s="422"/>
      <c r="C88" s="726"/>
      <c r="D88" s="734"/>
      <c r="E88" s="372"/>
      <c r="F88" s="726">
        <f>+'[26]16.โครงการ'!$CY$537</f>
        <v>0</v>
      </c>
      <c r="G88" s="734">
        <f>+'[26]16.โครงการ'!$CZ$537</f>
        <v>0</v>
      </c>
      <c r="K88" s="339"/>
      <c r="L88" s="339"/>
    </row>
    <row r="89" spans="1:12" x14ac:dyDescent="0.3">
      <c r="A89" s="372" t="s">
        <v>315</v>
      </c>
      <c r="B89" s="422"/>
      <c r="C89" s="726"/>
      <c r="D89" s="734"/>
      <c r="E89" s="372"/>
      <c r="F89" s="726">
        <f>+'[26]16.โครงการ'!$CY$568</f>
        <v>0</v>
      </c>
      <c r="G89" s="734">
        <f>+'[26]16.โครงการ'!$CZ$568</f>
        <v>0</v>
      </c>
      <c r="K89" s="339"/>
      <c r="L89" s="339"/>
    </row>
    <row r="90" spans="1:12" x14ac:dyDescent="0.3">
      <c r="A90" s="372" t="s">
        <v>390</v>
      </c>
      <c r="B90" s="422"/>
      <c r="C90" s="726"/>
      <c r="D90" s="734"/>
      <c r="E90" s="372"/>
      <c r="F90" s="726">
        <f>+'[26]16.โครงการ'!$CY$599</f>
        <v>0</v>
      </c>
      <c r="G90" s="734">
        <f>+'[26]16.โครงการ'!$CZ$599</f>
        <v>0</v>
      </c>
      <c r="K90" s="339"/>
      <c r="L90" s="339"/>
    </row>
    <row r="91" spans="1:12" x14ac:dyDescent="0.3">
      <c r="A91" s="526" t="s">
        <v>12</v>
      </c>
      <c r="B91" s="423">
        <f>SUM(B92:B96)</f>
        <v>0</v>
      </c>
      <c r="C91" s="727">
        <f>SUM(C92:C96)</f>
        <v>0</v>
      </c>
      <c r="D91" s="735">
        <f>SUM(D92:D96)</f>
        <v>0</v>
      </c>
      <c r="E91" s="375">
        <f>SUM(E92:E100)</f>
        <v>0</v>
      </c>
      <c r="F91" s="727">
        <f>SUM(F92:F100)</f>
        <v>0</v>
      </c>
      <c r="G91" s="735">
        <f>SUM(G92:G98)</f>
        <v>0</v>
      </c>
      <c r="K91" s="339"/>
      <c r="L91" s="339"/>
    </row>
    <row r="92" spans="1:12" s="339" customFormat="1" x14ac:dyDescent="0.3">
      <c r="A92" s="372" t="s">
        <v>391</v>
      </c>
      <c r="B92" s="372">
        <f>SUM(C92:D92)</f>
        <v>0</v>
      </c>
      <c r="C92" s="726"/>
      <c r="D92" s="734"/>
      <c r="E92" s="372">
        <f t="shared" ref="E92:E98" si="19">SUM(F92:G92)</f>
        <v>0</v>
      </c>
      <c r="F92" s="726">
        <f>+'[26]16.โครงการ'!$CY$631</f>
        <v>0</v>
      </c>
      <c r="G92" s="734">
        <f>+'[26]16.โครงการ'!$CZ$631</f>
        <v>0</v>
      </c>
    </row>
    <row r="93" spans="1:12" s="339" customFormat="1" x14ac:dyDescent="0.3">
      <c r="A93" s="372" t="s">
        <v>392</v>
      </c>
      <c r="B93" s="372">
        <f>SUM(C93:D93)</f>
        <v>0</v>
      </c>
      <c r="C93" s="726"/>
      <c r="D93" s="734"/>
      <c r="E93" s="372">
        <f>SUM(F93:G93)</f>
        <v>0</v>
      </c>
      <c r="F93" s="726">
        <f>+'[26]16.โครงการ'!$CY$664</f>
        <v>0</v>
      </c>
      <c r="G93" s="734">
        <f>+'[26]16.โครงการ'!$CZ$664</f>
        <v>0</v>
      </c>
    </row>
    <row r="94" spans="1:12" s="339" customFormat="1" x14ac:dyDescent="0.3">
      <c r="A94" s="372" t="s">
        <v>393</v>
      </c>
      <c r="B94" s="372">
        <f>SUM(C94:D94)</f>
        <v>0</v>
      </c>
      <c r="C94" s="726"/>
      <c r="D94" s="734"/>
      <c r="E94" s="372">
        <f>SUM(F94:G94)</f>
        <v>0</v>
      </c>
      <c r="F94" s="726">
        <f>+'[26]16.โครงการ'!$CY$697</f>
        <v>0</v>
      </c>
      <c r="G94" s="734">
        <f>+'[26]16.โครงการ'!$CZ$697</f>
        <v>0</v>
      </c>
    </row>
    <row r="95" spans="1:12" s="339" customFormat="1" x14ac:dyDescent="0.3">
      <c r="A95" s="372" t="s">
        <v>394</v>
      </c>
      <c r="B95" s="372">
        <f>SUM(C95:D95)</f>
        <v>0</v>
      </c>
      <c r="C95" s="726"/>
      <c r="D95" s="734"/>
      <c r="E95" s="372">
        <f t="shared" si="19"/>
        <v>0</v>
      </c>
      <c r="F95" s="726">
        <f>+'[26]16.โครงการ'!$CY$730</f>
        <v>0</v>
      </c>
      <c r="G95" s="734">
        <f>+'[26]16.โครงการ'!$CZ$730</f>
        <v>0</v>
      </c>
    </row>
    <row r="96" spans="1:12" s="379" customFormat="1" x14ac:dyDescent="0.3">
      <c r="A96" s="373" t="s">
        <v>409</v>
      </c>
      <c r="B96" s="373">
        <f>SUM(C96:D96)</f>
        <v>0</v>
      </c>
      <c r="C96" s="743"/>
      <c r="D96" s="741"/>
      <c r="E96" s="373">
        <f t="shared" si="19"/>
        <v>0</v>
      </c>
      <c r="F96" s="372">
        <f>+'[14]16.โครงการ'!$BB$4-'[32]16.โครงการ'!$BB$14</f>
        <v>0</v>
      </c>
      <c r="G96" s="741"/>
      <c r="I96" s="339"/>
      <c r="J96" s="339"/>
      <c r="K96" s="339"/>
      <c r="L96" s="339"/>
    </row>
    <row r="97" spans="1:12" s="379" customFormat="1" x14ac:dyDescent="0.3">
      <c r="A97" s="373" t="s">
        <v>508</v>
      </c>
      <c r="B97" s="373"/>
      <c r="C97" s="743"/>
      <c r="D97" s="741"/>
      <c r="E97" s="373">
        <f t="shared" si="19"/>
        <v>0</v>
      </c>
      <c r="F97" s="743">
        <f>+'[14]16.โครงการ'!$BB$36</f>
        <v>0</v>
      </c>
      <c r="G97" s="741">
        <f>+'[14]16.โครงการ'!$BC$36</f>
        <v>0</v>
      </c>
      <c r="I97" s="339"/>
      <c r="J97" s="339"/>
      <c r="K97" s="339"/>
      <c r="L97" s="339"/>
    </row>
    <row r="98" spans="1:12" s="379" customFormat="1" x14ac:dyDescent="0.3">
      <c r="A98" s="373" t="s">
        <v>407</v>
      </c>
      <c r="B98" s="373"/>
      <c r="C98" s="743"/>
      <c r="D98" s="741"/>
      <c r="E98" s="373">
        <f t="shared" si="19"/>
        <v>0</v>
      </c>
      <c r="F98" s="743"/>
      <c r="G98" s="741"/>
      <c r="I98" s="339"/>
      <c r="J98" s="339"/>
      <c r="K98" s="339"/>
      <c r="L98" s="339"/>
    </row>
    <row r="99" spans="1:12" s="379" customFormat="1" x14ac:dyDescent="0.3">
      <c r="A99" s="373" t="s">
        <v>408</v>
      </c>
      <c r="B99" s="373"/>
      <c r="C99" s="743"/>
      <c r="D99" s="741"/>
      <c r="E99" s="373">
        <f>SUM(F99:G99)</f>
        <v>0</v>
      </c>
      <c r="F99" s="743"/>
      <c r="G99" s="741"/>
      <c r="I99" s="339"/>
      <c r="J99" s="339"/>
      <c r="K99" s="339"/>
      <c r="L99" s="339"/>
    </row>
    <row r="100" spans="1:12" s="721" customFormat="1" x14ac:dyDescent="0.3">
      <c r="A100" s="378"/>
      <c r="B100" s="378"/>
      <c r="C100" s="746"/>
      <c r="D100" s="749"/>
      <c r="E100" s="378"/>
      <c r="F100" s="746"/>
      <c r="G100" s="749"/>
      <c r="I100" s="339"/>
      <c r="J100" s="339"/>
      <c r="K100" s="339"/>
      <c r="L100" s="339"/>
    </row>
    <row r="101" spans="1:12" s="339" customFormat="1" x14ac:dyDescent="0.3">
      <c r="C101" s="722"/>
      <c r="D101" s="730"/>
      <c r="F101" s="722"/>
      <c r="G101" s="730"/>
    </row>
    <row r="102" spans="1:12" s="339" customFormat="1" x14ac:dyDescent="0.3">
      <c r="C102" s="722"/>
      <c r="D102" s="730"/>
      <c r="F102" s="722"/>
      <c r="G102" s="730"/>
    </row>
    <row r="103" spans="1:12" x14ac:dyDescent="0.3">
      <c r="K103" s="339"/>
      <c r="L103" s="339"/>
    </row>
    <row r="104" spans="1:12" x14ac:dyDescent="0.3">
      <c r="K104" s="339"/>
      <c r="L104" s="339"/>
    </row>
    <row r="105" spans="1:12" x14ac:dyDescent="0.3">
      <c r="K105" s="339"/>
      <c r="L105" s="339"/>
    </row>
    <row r="106" spans="1:12" x14ac:dyDescent="0.3">
      <c r="K106" s="339"/>
      <c r="L106" s="339"/>
    </row>
    <row r="107" spans="1:12" x14ac:dyDescent="0.3">
      <c r="K107" s="339"/>
      <c r="L107" s="339"/>
    </row>
    <row r="108" spans="1:12" x14ac:dyDescent="0.3">
      <c r="K108" s="339"/>
      <c r="L108" s="339"/>
    </row>
    <row r="109" spans="1:12" x14ac:dyDescent="0.3">
      <c r="K109" s="339"/>
      <c r="L109" s="339"/>
    </row>
    <row r="110" spans="1:12" x14ac:dyDescent="0.3">
      <c r="K110" s="339"/>
      <c r="L110" s="339"/>
    </row>
    <row r="111" spans="1:12" x14ac:dyDescent="0.3">
      <c r="K111" s="339"/>
      <c r="L111" s="339"/>
    </row>
    <row r="112" spans="1:12" x14ac:dyDescent="0.3">
      <c r="K112" s="339"/>
      <c r="L112" s="339"/>
    </row>
    <row r="113" spans="1:12" x14ac:dyDescent="0.3">
      <c r="K113" s="339"/>
      <c r="L113" s="339"/>
    </row>
    <row r="114" spans="1:12" x14ac:dyDescent="0.3">
      <c r="K114" s="339"/>
      <c r="L114" s="339"/>
    </row>
    <row r="115" spans="1:12" x14ac:dyDescent="0.3">
      <c r="A115" s="3513" t="s">
        <v>0</v>
      </c>
      <c r="B115" s="3519" t="s">
        <v>4</v>
      </c>
      <c r="C115" s="3519"/>
      <c r="D115" s="3519"/>
      <c r="E115" s="3520" t="s">
        <v>20</v>
      </c>
      <c r="F115" s="3520"/>
      <c r="G115" s="3520"/>
      <c r="K115" s="339"/>
      <c r="L115" s="339"/>
    </row>
    <row r="116" spans="1:12" x14ac:dyDescent="0.3">
      <c r="A116" s="3514"/>
      <c r="B116" s="418" t="s">
        <v>28</v>
      </c>
      <c r="C116" s="723" t="s">
        <v>34</v>
      </c>
      <c r="D116" s="731" t="s">
        <v>62</v>
      </c>
      <c r="E116" s="380" t="s">
        <v>28</v>
      </c>
      <c r="F116" s="723" t="s">
        <v>34</v>
      </c>
      <c r="G116" s="731" t="s">
        <v>62</v>
      </c>
      <c r="K116" s="339"/>
      <c r="L116" s="339"/>
    </row>
    <row r="117" spans="1:12" ht="19.5" thickBot="1" x14ac:dyDescent="0.35">
      <c r="A117" s="419" t="s">
        <v>28</v>
      </c>
      <c r="B117" s="420">
        <f t="shared" ref="B117:G117" si="20">SUM(B118+B123+B131)</f>
        <v>0</v>
      </c>
      <c r="C117" s="724">
        <f t="shared" si="20"/>
        <v>0</v>
      </c>
      <c r="D117" s="732">
        <f t="shared" si="20"/>
        <v>0</v>
      </c>
      <c r="E117" s="367">
        <f t="shared" si="20"/>
        <v>0</v>
      </c>
      <c r="F117" s="724">
        <f t="shared" si="20"/>
        <v>0</v>
      </c>
      <c r="G117" s="732">
        <f t="shared" si="20"/>
        <v>0</v>
      </c>
      <c r="K117" s="339"/>
      <c r="L117" s="339"/>
    </row>
    <row r="118" spans="1:12" ht="19.5" thickTop="1" x14ac:dyDescent="0.3">
      <c r="A118" s="369" t="s">
        <v>7</v>
      </c>
      <c r="B118" s="421">
        <f t="shared" ref="B118:G118" si="21">SUM(B119:B121)</f>
        <v>0</v>
      </c>
      <c r="C118" s="725">
        <f t="shared" si="21"/>
        <v>0</v>
      </c>
      <c r="D118" s="733">
        <f t="shared" si="21"/>
        <v>0</v>
      </c>
      <c r="E118" s="370">
        <f t="shared" si="21"/>
        <v>0</v>
      </c>
      <c r="F118" s="725">
        <f t="shared" si="21"/>
        <v>0</v>
      </c>
      <c r="G118" s="733">
        <f t="shared" si="21"/>
        <v>0</v>
      </c>
      <c r="K118" s="339"/>
      <c r="L118" s="339"/>
    </row>
    <row r="119" spans="1:12" x14ac:dyDescent="0.3">
      <c r="A119" s="398" t="s">
        <v>8</v>
      </c>
      <c r="B119" s="422">
        <f>SUM(C119:D119)</f>
        <v>0</v>
      </c>
      <c r="C119" s="726"/>
      <c r="D119" s="734"/>
      <c r="E119" s="372">
        <f>SUM(F119:G119)</f>
        <v>0</v>
      </c>
      <c r="F119" s="726"/>
      <c r="G119" s="734"/>
      <c r="K119" s="339"/>
      <c r="L119" s="339"/>
    </row>
    <row r="120" spans="1:12" x14ac:dyDescent="0.3">
      <c r="A120" s="398" t="s">
        <v>306</v>
      </c>
      <c r="B120" s="422">
        <f>SUM(C120:D120)</f>
        <v>0</v>
      </c>
      <c r="C120" s="726"/>
      <c r="D120" s="734"/>
      <c r="E120" s="372">
        <f>SUM(F120:G120)</f>
        <v>0</v>
      </c>
      <c r="F120" s="726"/>
      <c r="G120" s="734"/>
      <c r="K120" s="339"/>
      <c r="L120" s="339"/>
    </row>
    <row r="121" spans="1:12" x14ac:dyDescent="0.3">
      <c r="A121" s="372"/>
      <c r="B121" s="422">
        <f>SUM(C121:D121)</f>
        <v>0</v>
      </c>
      <c r="C121" s="726"/>
      <c r="D121" s="734"/>
      <c r="E121" s="372">
        <f>SUM(F121:G121)</f>
        <v>0</v>
      </c>
      <c r="F121" s="726"/>
      <c r="G121" s="734"/>
      <c r="K121" s="339"/>
      <c r="L121" s="339"/>
    </row>
    <row r="122" spans="1:12" x14ac:dyDescent="0.3">
      <c r="A122" s="526" t="s">
        <v>9</v>
      </c>
      <c r="B122" s="422"/>
      <c r="C122" s="726"/>
      <c r="D122" s="734"/>
      <c r="E122" s="372"/>
      <c r="F122" s="726"/>
      <c r="G122" s="734"/>
      <c r="K122" s="339"/>
      <c r="L122" s="339"/>
    </row>
    <row r="123" spans="1:12" x14ac:dyDescent="0.3">
      <c r="A123" s="372" t="s">
        <v>308</v>
      </c>
      <c r="B123" s="423">
        <f t="shared" ref="B123:G123" si="22">SUM(B124:B129)</f>
        <v>0</v>
      </c>
      <c r="C123" s="727">
        <f t="shared" si="22"/>
        <v>0</v>
      </c>
      <c r="D123" s="735">
        <f t="shared" si="22"/>
        <v>0</v>
      </c>
      <c r="E123" s="375">
        <f t="shared" si="22"/>
        <v>0</v>
      </c>
      <c r="F123" s="727">
        <f t="shared" si="22"/>
        <v>0</v>
      </c>
      <c r="G123" s="735">
        <f t="shared" si="22"/>
        <v>0</v>
      </c>
      <c r="K123" s="339"/>
      <c r="L123" s="339"/>
    </row>
    <row r="124" spans="1:12" x14ac:dyDescent="0.3">
      <c r="A124" s="372" t="s">
        <v>309</v>
      </c>
      <c r="B124" s="422">
        <f t="shared" ref="B124:B129" si="23">SUM(C124:D124)</f>
        <v>0</v>
      </c>
      <c r="C124" s="726"/>
      <c r="D124" s="734"/>
      <c r="E124" s="372">
        <f t="shared" ref="E124:E129" si="24">SUM(F124:G124)</f>
        <v>0</v>
      </c>
      <c r="F124" s="726"/>
      <c r="G124" s="734"/>
      <c r="K124" s="339"/>
      <c r="L124" s="339"/>
    </row>
    <row r="125" spans="1:12" x14ac:dyDescent="0.3">
      <c r="A125" s="372" t="s">
        <v>310</v>
      </c>
      <c r="B125" s="422">
        <f t="shared" si="23"/>
        <v>0</v>
      </c>
      <c r="C125" s="726"/>
      <c r="D125" s="734"/>
      <c r="E125" s="372">
        <f t="shared" si="24"/>
        <v>0</v>
      </c>
      <c r="F125" s="726"/>
      <c r="G125" s="734"/>
      <c r="K125" s="339"/>
      <c r="L125" s="339"/>
    </row>
    <row r="126" spans="1:12" x14ac:dyDescent="0.3">
      <c r="A126" s="372" t="s">
        <v>311</v>
      </c>
      <c r="B126" s="422">
        <f t="shared" si="23"/>
        <v>0</v>
      </c>
      <c r="C126" s="726"/>
      <c r="D126" s="734"/>
      <c r="E126" s="372">
        <f t="shared" si="24"/>
        <v>0</v>
      </c>
      <c r="F126" s="726"/>
      <c r="G126" s="734"/>
      <c r="K126" s="339"/>
      <c r="L126" s="339"/>
    </row>
    <row r="127" spans="1:12" x14ac:dyDescent="0.3">
      <c r="A127" s="372" t="s">
        <v>312</v>
      </c>
      <c r="B127" s="422">
        <f t="shared" si="23"/>
        <v>0</v>
      </c>
      <c r="C127" s="726"/>
      <c r="D127" s="734"/>
      <c r="E127" s="372">
        <f t="shared" si="24"/>
        <v>0</v>
      </c>
      <c r="F127" s="726"/>
      <c r="G127" s="734"/>
      <c r="K127" s="339"/>
      <c r="L127" s="339"/>
    </row>
    <row r="128" spans="1:12" x14ac:dyDescent="0.3">
      <c r="A128" s="372" t="s">
        <v>313</v>
      </c>
      <c r="B128" s="422">
        <f t="shared" si="23"/>
        <v>0</v>
      </c>
      <c r="C128" s="726"/>
      <c r="D128" s="734"/>
      <c r="E128" s="372">
        <f t="shared" si="24"/>
        <v>0</v>
      </c>
      <c r="F128" s="726"/>
      <c r="G128" s="734"/>
      <c r="K128" s="339"/>
      <c r="L128" s="339"/>
    </row>
    <row r="129" spans="1:12" x14ac:dyDescent="0.3">
      <c r="A129" s="372" t="s">
        <v>314</v>
      </c>
      <c r="B129" s="422">
        <f t="shared" si="23"/>
        <v>0</v>
      </c>
      <c r="C129" s="726"/>
      <c r="D129" s="734"/>
      <c r="E129" s="372">
        <f t="shared" si="24"/>
        <v>0</v>
      </c>
      <c r="F129" s="726"/>
      <c r="G129" s="734"/>
      <c r="K129" s="339"/>
      <c r="L129" s="339"/>
    </row>
    <row r="130" spans="1:12" x14ac:dyDescent="0.3">
      <c r="A130" s="372" t="s">
        <v>315</v>
      </c>
      <c r="B130" s="422"/>
      <c r="C130" s="726"/>
      <c r="D130" s="734"/>
      <c r="E130" s="372"/>
      <c r="F130" s="726"/>
      <c r="G130" s="734"/>
      <c r="K130" s="339"/>
      <c r="L130" s="339"/>
    </row>
    <row r="131" spans="1:12" x14ac:dyDescent="0.3">
      <c r="A131" s="372"/>
      <c r="B131" s="423">
        <f>SUM(B132:B136)</f>
        <v>0</v>
      </c>
      <c r="C131" s="727">
        <f>SUM(C132:C136)</f>
        <v>0</v>
      </c>
      <c r="D131" s="735">
        <f>SUM(D132:D136)</f>
        <v>0</v>
      </c>
      <c r="E131" s="375">
        <f>SUM(E132:E135)</f>
        <v>0</v>
      </c>
      <c r="F131" s="727">
        <f>SUM(F132:F135)</f>
        <v>0</v>
      </c>
      <c r="G131" s="735">
        <f>SUM(G132:G135)</f>
        <v>0</v>
      </c>
      <c r="K131" s="339"/>
      <c r="L131" s="339"/>
    </row>
    <row r="132" spans="1:12" x14ac:dyDescent="0.3">
      <c r="A132" s="526" t="s">
        <v>12</v>
      </c>
      <c r="B132" s="422">
        <f>SUM(C132:D132)</f>
        <v>0</v>
      </c>
      <c r="C132" s="726"/>
      <c r="D132" s="734"/>
      <c r="E132" s="372">
        <f>SUM(F132:G132)</f>
        <v>0</v>
      </c>
      <c r="F132" s="726"/>
      <c r="G132" s="734"/>
      <c r="K132" s="339"/>
      <c r="L132" s="339"/>
    </row>
    <row r="133" spans="1:12" x14ac:dyDescent="0.3">
      <c r="A133" s="372" t="s">
        <v>316</v>
      </c>
      <c r="B133" s="422">
        <f>SUM(C133:D133)</f>
        <v>0</v>
      </c>
      <c r="C133" s="726"/>
      <c r="D133" s="734"/>
      <c r="E133" s="372">
        <f>SUM(F133:G133)</f>
        <v>0</v>
      </c>
      <c r="F133" s="726"/>
      <c r="G133" s="734"/>
      <c r="K133" s="339"/>
      <c r="L133" s="339"/>
    </row>
    <row r="134" spans="1:12" x14ac:dyDescent="0.3">
      <c r="A134" s="372" t="s">
        <v>317</v>
      </c>
      <c r="B134" s="422">
        <f>SUM(C134:D134)</f>
        <v>0</v>
      </c>
      <c r="C134" s="726"/>
      <c r="D134" s="734"/>
      <c r="E134" s="372">
        <f>SUM(F134:G134)</f>
        <v>0</v>
      </c>
      <c r="F134" s="726"/>
      <c r="G134" s="734"/>
      <c r="K134" s="339"/>
      <c r="L134" s="339"/>
    </row>
    <row r="135" spans="1:12" x14ac:dyDescent="0.3">
      <c r="A135" s="372" t="s">
        <v>318</v>
      </c>
      <c r="B135" s="422">
        <f>SUM(C135:D135)</f>
        <v>0</v>
      </c>
      <c r="C135" s="726"/>
      <c r="D135" s="734"/>
      <c r="E135" s="372">
        <f>SUM(F135:G135)</f>
        <v>0</v>
      </c>
      <c r="F135" s="726"/>
      <c r="G135" s="734"/>
      <c r="K135" s="339"/>
      <c r="L135" s="339"/>
    </row>
    <row r="136" spans="1:12" x14ac:dyDescent="0.3">
      <c r="A136" s="372" t="s">
        <v>319</v>
      </c>
      <c r="B136" s="422">
        <f>SUM(C136:D136)</f>
        <v>0</v>
      </c>
      <c r="C136" s="726"/>
      <c r="D136" s="734"/>
      <c r="E136" s="372">
        <f>SUM(F136:G136)</f>
        <v>0</v>
      </c>
      <c r="F136" s="726"/>
      <c r="G136" s="734"/>
      <c r="K136" s="339"/>
      <c r="L136" s="339"/>
    </row>
    <row r="137" spans="1:12" x14ac:dyDescent="0.3">
      <c r="A137" s="413"/>
      <c r="B137" s="424"/>
      <c r="C137" s="728"/>
      <c r="D137" s="736"/>
      <c r="E137" s="377"/>
      <c r="F137" s="728"/>
      <c r="G137" s="736"/>
      <c r="K137" s="339"/>
      <c r="L137" s="339"/>
    </row>
    <row r="138" spans="1:12" x14ac:dyDescent="0.3">
      <c r="K138" s="339"/>
      <c r="L138" s="339"/>
    </row>
    <row r="139" spans="1:12" x14ac:dyDescent="0.3">
      <c r="K139" s="339"/>
      <c r="L139" s="339"/>
    </row>
    <row r="140" spans="1:12" x14ac:dyDescent="0.3">
      <c r="K140" s="339"/>
      <c r="L140" s="339"/>
    </row>
    <row r="141" spans="1:12" x14ac:dyDescent="0.3">
      <c r="K141" s="339"/>
      <c r="L141" s="339"/>
    </row>
    <row r="142" spans="1:12" x14ac:dyDescent="0.3">
      <c r="K142" s="339"/>
      <c r="L142" s="339"/>
    </row>
    <row r="143" spans="1:12" x14ac:dyDescent="0.3">
      <c r="K143" s="339"/>
      <c r="L143" s="339"/>
    </row>
    <row r="144" spans="1:12" x14ac:dyDescent="0.3">
      <c r="K144" s="339"/>
      <c r="L144" s="339"/>
    </row>
    <row r="145" spans="1:12" x14ac:dyDescent="0.3">
      <c r="K145" s="339"/>
      <c r="L145" s="339"/>
    </row>
    <row r="146" spans="1:12" x14ac:dyDescent="0.3">
      <c r="K146" s="339"/>
      <c r="L146" s="339"/>
    </row>
    <row r="147" spans="1:12" x14ac:dyDescent="0.3">
      <c r="K147" s="339"/>
      <c r="L147" s="339"/>
    </row>
    <row r="148" spans="1:12" x14ac:dyDescent="0.3">
      <c r="K148" s="339"/>
      <c r="L148" s="339"/>
    </row>
    <row r="149" spans="1:12" x14ac:dyDescent="0.3">
      <c r="K149" s="339"/>
      <c r="L149" s="339"/>
    </row>
    <row r="150" spans="1:12" x14ac:dyDescent="0.3">
      <c r="K150" s="339"/>
      <c r="L150" s="339"/>
    </row>
    <row r="151" spans="1:12" x14ac:dyDescent="0.3">
      <c r="K151" s="339"/>
      <c r="L151" s="339"/>
    </row>
    <row r="152" spans="1:12" x14ac:dyDescent="0.3">
      <c r="A152" s="3513" t="s">
        <v>0</v>
      </c>
      <c r="B152" s="3519" t="s">
        <v>5</v>
      </c>
      <c r="C152" s="3519"/>
      <c r="D152" s="3519"/>
      <c r="E152" s="3520" t="s">
        <v>21</v>
      </c>
      <c r="F152" s="3520"/>
      <c r="G152" s="3520"/>
      <c r="K152" s="339"/>
      <c r="L152" s="339"/>
    </row>
    <row r="153" spans="1:12" x14ac:dyDescent="0.3">
      <c r="A153" s="3514"/>
      <c r="B153" s="418" t="s">
        <v>28</v>
      </c>
      <c r="C153" s="723" t="s">
        <v>34</v>
      </c>
      <c r="D153" s="731" t="s">
        <v>62</v>
      </c>
      <c r="E153" s="380" t="s">
        <v>28</v>
      </c>
      <c r="F153" s="723" t="s">
        <v>34</v>
      </c>
      <c r="G153" s="731" t="s">
        <v>62</v>
      </c>
      <c r="K153" s="339"/>
      <c r="L153" s="339"/>
    </row>
    <row r="154" spans="1:12" ht="19.5" thickBot="1" x14ac:dyDescent="0.35">
      <c r="A154" s="419" t="s">
        <v>28</v>
      </c>
      <c r="B154" s="420">
        <f t="shared" ref="B154:G154" si="25">SUM(B155+B159+B169)</f>
        <v>0</v>
      </c>
      <c r="C154" s="724">
        <f t="shared" si="25"/>
        <v>0</v>
      </c>
      <c r="D154" s="732">
        <f t="shared" si="25"/>
        <v>0</v>
      </c>
      <c r="E154" s="368">
        <f t="shared" si="25"/>
        <v>0</v>
      </c>
      <c r="F154" s="747">
        <f t="shared" si="25"/>
        <v>0</v>
      </c>
      <c r="G154" s="732">
        <f t="shared" si="25"/>
        <v>0</v>
      </c>
      <c r="K154" s="339"/>
      <c r="L154" s="339"/>
    </row>
    <row r="155" spans="1:12" ht="19.5" thickTop="1" x14ac:dyDescent="0.3">
      <c r="A155" s="369" t="s">
        <v>7</v>
      </c>
      <c r="B155" s="421">
        <f t="shared" ref="B155:G155" si="26">SUM(B156:B157)</f>
        <v>0</v>
      </c>
      <c r="C155" s="725">
        <f t="shared" si="26"/>
        <v>0</v>
      </c>
      <c r="D155" s="733">
        <f t="shared" si="26"/>
        <v>0</v>
      </c>
      <c r="E155" s="370">
        <f t="shared" si="26"/>
        <v>0</v>
      </c>
      <c r="F155" s="725">
        <f t="shared" si="26"/>
        <v>0</v>
      </c>
      <c r="G155" s="733">
        <f t="shared" si="26"/>
        <v>0</v>
      </c>
      <c r="K155" s="339"/>
      <c r="L155" s="339"/>
    </row>
    <row r="156" spans="1:12" x14ac:dyDescent="0.3">
      <c r="A156" s="398" t="s">
        <v>8</v>
      </c>
      <c r="B156" s="422">
        <f>SUM(C156:D156)</f>
        <v>0</v>
      </c>
      <c r="C156" s="726"/>
      <c r="D156" s="734"/>
      <c r="E156" s="372">
        <f>SUM(F156:G156)</f>
        <v>0</v>
      </c>
      <c r="F156" s="726"/>
      <c r="G156" s="734"/>
      <c r="K156" s="339"/>
      <c r="L156" s="339"/>
    </row>
    <row r="157" spans="1:12" x14ac:dyDescent="0.3">
      <c r="A157" s="398" t="s">
        <v>306</v>
      </c>
      <c r="B157" s="422">
        <f>SUM(C157:D157)</f>
        <v>0</v>
      </c>
      <c r="C157" s="726"/>
      <c r="D157" s="734"/>
      <c r="E157" s="372">
        <f>SUM(F157:G157)</f>
        <v>0</v>
      </c>
      <c r="F157" s="726"/>
      <c r="G157" s="734"/>
      <c r="K157" s="339"/>
      <c r="L157" s="339"/>
    </row>
    <row r="158" spans="1:12" x14ac:dyDescent="0.3">
      <c r="A158" s="372"/>
      <c r="B158" s="422"/>
      <c r="C158" s="726"/>
      <c r="D158" s="734"/>
      <c r="E158" s="372"/>
      <c r="F158" s="726"/>
      <c r="G158" s="734"/>
      <c r="K158" s="339"/>
      <c r="L158" s="339"/>
    </row>
    <row r="159" spans="1:12" x14ac:dyDescent="0.3">
      <c r="A159" s="526" t="s">
        <v>9</v>
      </c>
      <c r="B159" s="425">
        <f t="shared" ref="B159:G159" si="27">SUM(B160:B165)</f>
        <v>0</v>
      </c>
      <c r="C159" s="727">
        <f t="shared" si="27"/>
        <v>0</v>
      </c>
      <c r="D159" s="738">
        <f t="shared" si="27"/>
        <v>0</v>
      </c>
      <c r="E159" s="375">
        <f t="shared" si="27"/>
        <v>0</v>
      </c>
      <c r="F159" s="727">
        <f t="shared" si="27"/>
        <v>0</v>
      </c>
      <c r="G159" s="735">
        <f t="shared" si="27"/>
        <v>0</v>
      </c>
      <c r="K159" s="339"/>
      <c r="L159" s="339"/>
    </row>
    <row r="160" spans="1:12" x14ac:dyDescent="0.3">
      <c r="A160" s="372" t="s">
        <v>308</v>
      </c>
      <c r="B160" s="426">
        <f t="shared" ref="B160:B165" si="28">SUM(C160:D160)</f>
        <v>0</v>
      </c>
      <c r="C160" s="726"/>
      <c r="D160" s="739"/>
      <c r="E160" s="372">
        <f t="shared" ref="E160:E165" si="29">SUM(F160:G160)</f>
        <v>0</v>
      </c>
      <c r="F160" s="726"/>
      <c r="G160" s="734"/>
      <c r="K160" s="339"/>
      <c r="L160" s="339"/>
    </row>
    <row r="161" spans="1:12" x14ac:dyDescent="0.3">
      <c r="A161" s="372" t="s">
        <v>309</v>
      </c>
      <c r="B161" s="422">
        <f t="shared" si="28"/>
        <v>0</v>
      </c>
      <c r="C161" s="726"/>
      <c r="D161" s="734"/>
      <c r="E161" s="372">
        <f t="shared" si="29"/>
        <v>0</v>
      </c>
      <c r="F161" s="726"/>
      <c r="G161" s="734"/>
      <c r="K161" s="339"/>
      <c r="L161" s="339"/>
    </row>
    <row r="162" spans="1:12" x14ac:dyDescent="0.3">
      <c r="A162" s="372" t="s">
        <v>310</v>
      </c>
      <c r="B162" s="422">
        <f t="shared" si="28"/>
        <v>0</v>
      </c>
      <c r="C162" s="726"/>
      <c r="D162" s="734"/>
      <c r="E162" s="372">
        <f t="shared" si="29"/>
        <v>0</v>
      </c>
      <c r="F162" s="726"/>
      <c r="G162" s="734"/>
      <c r="K162" s="339"/>
      <c r="L162" s="339"/>
    </row>
    <row r="163" spans="1:12" x14ac:dyDescent="0.3">
      <c r="A163" s="372" t="s">
        <v>311</v>
      </c>
      <c r="B163" s="422">
        <f t="shared" si="28"/>
        <v>0</v>
      </c>
      <c r="C163" s="726"/>
      <c r="D163" s="734"/>
      <c r="E163" s="372">
        <f t="shared" si="29"/>
        <v>0</v>
      </c>
      <c r="F163" s="726"/>
      <c r="G163" s="734"/>
      <c r="K163" s="339"/>
      <c r="L163" s="339"/>
    </row>
    <row r="164" spans="1:12" x14ac:dyDescent="0.3">
      <c r="A164" s="372" t="s">
        <v>312</v>
      </c>
      <c r="B164" s="422">
        <f t="shared" si="28"/>
        <v>0</v>
      </c>
      <c r="C164" s="726"/>
      <c r="D164" s="734"/>
      <c r="E164" s="372">
        <f t="shared" si="29"/>
        <v>0</v>
      </c>
      <c r="F164" s="726"/>
      <c r="G164" s="734"/>
      <c r="K164" s="339"/>
      <c r="L164" s="339"/>
    </row>
    <row r="165" spans="1:12" x14ac:dyDescent="0.3">
      <c r="A165" s="372" t="s">
        <v>313</v>
      </c>
      <c r="B165" s="422">
        <f t="shared" si="28"/>
        <v>0</v>
      </c>
      <c r="C165" s="726"/>
      <c r="D165" s="734"/>
      <c r="E165" s="372">
        <f t="shared" si="29"/>
        <v>0</v>
      </c>
      <c r="F165" s="726"/>
      <c r="G165" s="734"/>
      <c r="K165" s="339"/>
      <c r="L165" s="339"/>
    </row>
    <row r="166" spans="1:12" x14ac:dyDescent="0.3">
      <c r="A166" s="372" t="s">
        <v>314</v>
      </c>
      <c r="B166" s="422"/>
      <c r="C166" s="726"/>
      <c r="D166" s="734"/>
      <c r="E166" s="372"/>
      <c r="F166" s="726"/>
      <c r="G166" s="734"/>
      <c r="K166" s="339"/>
      <c r="L166" s="339"/>
    </row>
    <row r="167" spans="1:12" x14ac:dyDescent="0.3">
      <c r="A167" s="372" t="s">
        <v>315</v>
      </c>
      <c r="B167" s="422"/>
      <c r="C167" s="726"/>
      <c r="D167" s="734"/>
      <c r="E167" s="372"/>
      <c r="F167" s="726"/>
      <c r="G167" s="734"/>
      <c r="K167" s="339"/>
      <c r="L167" s="339"/>
    </row>
    <row r="168" spans="1:12" x14ac:dyDescent="0.3">
      <c r="A168" s="372"/>
      <c r="B168" s="422"/>
      <c r="C168" s="726"/>
      <c r="D168" s="734"/>
      <c r="E168" s="372"/>
      <c r="F168" s="726"/>
      <c r="G168" s="734"/>
      <c r="K168" s="339"/>
      <c r="L168" s="339"/>
    </row>
    <row r="169" spans="1:12" x14ac:dyDescent="0.3">
      <c r="A169" s="526" t="s">
        <v>12</v>
      </c>
      <c r="B169" s="423">
        <f t="shared" ref="B169:G169" si="30">SUM(B170:B173)</f>
        <v>0</v>
      </c>
      <c r="C169" s="727">
        <f t="shared" si="30"/>
        <v>0</v>
      </c>
      <c r="D169" s="735">
        <f t="shared" si="30"/>
        <v>0</v>
      </c>
      <c r="E169" s="376">
        <f t="shared" si="30"/>
        <v>0</v>
      </c>
      <c r="F169" s="748">
        <f t="shared" si="30"/>
        <v>0</v>
      </c>
      <c r="G169" s="735">
        <f t="shared" si="30"/>
        <v>0</v>
      </c>
      <c r="K169" s="339"/>
      <c r="L169" s="339"/>
    </row>
    <row r="170" spans="1:12" x14ac:dyDescent="0.3">
      <c r="A170" s="372" t="s">
        <v>316</v>
      </c>
      <c r="B170" s="422">
        <f>SUM(C170:D170)</f>
        <v>0</v>
      </c>
      <c r="C170" s="726"/>
      <c r="D170" s="734"/>
      <c r="E170" s="372">
        <f>SUM(F170:G170)</f>
        <v>0</v>
      </c>
      <c r="F170" s="726"/>
      <c r="G170" s="734"/>
      <c r="K170" s="339"/>
      <c r="L170" s="339"/>
    </row>
    <row r="171" spans="1:12" x14ac:dyDescent="0.3">
      <c r="A171" s="372" t="s">
        <v>317</v>
      </c>
      <c r="B171" s="422">
        <f>SUM(C171:D171)</f>
        <v>0</v>
      </c>
      <c r="C171" s="726"/>
      <c r="D171" s="734"/>
      <c r="E171" s="372">
        <f>SUM(F171:G171)</f>
        <v>0</v>
      </c>
      <c r="F171" s="726"/>
      <c r="G171" s="734"/>
      <c r="K171" s="339"/>
      <c r="L171" s="339"/>
    </row>
    <row r="172" spans="1:12" x14ac:dyDescent="0.3">
      <c r="A172" s="372" t="s">
        <v>318</v>
      </c>
      <c r="B172" s="422">
        <f>SUM(C172:D172)</f>
        <v>0</v>
      </c>
      <c r="C172" s="726"/>
      <c r="D172" s="734"/>
      <c r="E172" s="372">
        <f>SUM(F172:G172)</f>
        <v>0</v>
      </c>
      <c r="F172" s="726"/>
      <c r="G172" s="734"/>
      <c r="K172" s="339"/>
      <c r="L172" s="339"/>
    </row>
    <row r="173" spans="1:12" x14ac:dyDescent="0.3">
      <c r="A173" s="372" t="s">
        <v>319</v>
      </c>
      <c r="B173" s="422">
        <f>SUM(C173:D173)</f>
        <v>0</v>
      </c>
      <c r="C173" s="726"/>
      <c r="D173" s="734"/>
      <c r="E173" s="374">
        <f>SUM(F173:G173)</f>
        <v>0</v>
      </c>
      <c r="F173" s="729"/>
      <c r="G173" s="734"/>
      <c r="K173" s="339"/>
      <c r="L173" s="339"/>
    </row>
    <row r="174" spans="1:12" x14ac:dyDescent="0.3">
      <c r="A174" s="413"/>
      <c r="B174" s="424"/>
      <c r="C174" s="728"/>
      <c r="D174" s="736"/>
      <c r="E174" s="377"/>
      <c r="F174" s="728"/>
      <c r="G174" s="736"/>
      <c r="K174" s="339"/>
      <c r="L174" s="339"/>
    </row>
    <row r="175" spans="1:12" x14ac:dyDescent="0.3">
      <c r="K175" s="339"/>
      <c r="L175" s="339"/>
    </row>
    <row r="176" spans="1:12" x14ac:dyDescent="0.3">
      <c r="K176" s="339"/>
      <c r="L176" s="339"/>
    </row>
    <row r="177" spans="11:12" x14ac:dyDescent="0.3">
      <c r="K177" s="339"/>
      <c r="L177" s="339"/>
    </row>
    <row r="178" spans="11:12" x14ac:dyDescent="0.3">
      <c r="K178" s="339"/>
      <c r="L178" s="339"/>
    </row>
    <row r="179" spans="11:12" x14ac:dyDescent="0.3">
      <c r="K179" s="339"/>
      <c r="L179" s="339"/>
    </row>
    <row r="180" spans="11:12" x14ac:dyDescent="0.3">
      <c r="K180" s="339"/>
      <c r="L180" s="339"/>
    </row>
    <row r="181" spans="11:12" x14ac:dyDescent="0.3">
      <c r="K181" s="339"/>
      <c r="L181" s="339"/>
    </row>
    <row r="182" spans="11:12" x14ac:dyDescent="0.3">
      <c r="K182" s="339"/>
      <c r="L182" s="339"/>
    </row>
    <row r="183" spans="11:12" x14ac:dyDescent="0.3">
      <c r="K183" s="339"/>
      <c r="L183" s="339"/>
    </row>
    <row r="184" spans="11:12" x14ac:dyDescent="0.3">
      <c r="K184" s="339"/>
      <c r="L184" s="339"/>
    </row>
    <row r="185" spans="11:12" x14ac:dyDescent="0.3">
      <c r="K185" s="339"/>
      <c r="L185" s="339"/>
    </row>
    <row r="186" spans="11:12" x14ac:dyDescent="0.3">
      <c r="K186" s="339"/>
      <c r="L186" s="339"/>
    </row>
    <row r="187" spans="11:12" x14ac:dyDescent="0.3">
      <c r="K187" s="339"/>
      <c r="L187" s="339"/>
    </row>
    <row r="188" spans="11:12" x14ac:dyDescent="0.3">
      <c r="K188" s="339"/>
      <c r="L188" s="339"/>
    </row>
    <row r="189" spans="11:12" x14ac:dyDescent="0.3">
      <c r="K189" s="339"/>
      <c r="L189" s="339"/>
    </row>
    <row r="190" spans="11:12" x14ac:dyDescent="0.3">
      <c r="K190" s="339"/>
      <c r="L190" s="339"/>
    </row>
    <row r="191" spans="11:12" x14ac:dyDescent="0.3">
      <c r="K191" s="339"/>
      <c r="L191" s="339"/>
    </row>
    <row r="192" spans="11:12" x14ac:dyDescent="0.3">
      <c r="K192" s="339"/>
      <c r="L192" s="339"/>
    </row>
    <row r="193" spans="11:12" x14ac:dyDescent="0.3">
      <c r="K193" s="339"/>
      <c r="L193" s="339"/>
    </row>
    <row r="194" spans="11:12" x14ac:dyDescent="0.3">
      <c r="K194" s="339"/>
      <c r="L194" s="339"/>
    </row>
    <row r="195" spans="11:12" x14ac:dyDescent="0.3">
      <c r="K195" s="339"/>
      <c r="L195" s="339"/>
    </row>
    <row r="196" spans="11:12" x14ac:dyDescent="0.3">
      <c r="K196" s="339"/>
      <c r="L196" s="339"/>
    </row>
    <row r="197" spans="11:12" x14ac:dyDescent="0.3">
      <c r="K197" s="339"/>
      <c r="L197" s="339"/>
    </row>
    <row r="198" spans="11:12" x14ac:dyDescent="0.3">
      <c r="K198" s="339"/>
      <c r="L198" s="339"/>
    </row>
    <row r="199" spans="11:12" x14ac:dyDescent="0.3">
      <c r="K199" s="339"/>
      <c r="L199" s="339"/>
    </row>
    <row r="200" spans="11:12" x14ac:dyDescent="0.3">
      <c r="K200" s="339"/>
      <c r="L200" s="339"/>
    </row>
    <row r="201" spans="11:12" x14ac:dyDescent="0.3">
      <c r="K201" s="339"/>
      <c r="L201" s="339"/>
    </row>
    <row r="202" spans="11:12" x14ac:dyDescent="0.3">
      <c r="K202" s="339"/>
      <c r="L202" s="339"/>
    </row>
    <row r="203" spans="11:12" x14ac:dyDescent="0.3">
      <c r="K203" s="339"/>
      <c r="L203" s="339"/>
    </row>
    <row r="204" spans="11:12" x14ac:dyDescent="0.3">
      <c r="K204" s="339"/>
      <c r="L204" s="339"/>
    </row>
    <row r="205" spans="11:12" x14ac:dyDescent="0.3">
      <c r="K205" s="339"/>
      <c r="L205" s="339"/>
    </row>
    <row r="206" spans="11:12" x14ac:dyDescent="0.3">
      <c r="K206" s="339"/>
      <c r="L206" s="339"/>
    </row>
    <row r="207" spans="11:12" x14ac:dyDescent="0.3">
      <c r="K207" s="339"/>
      <c r="L207" s="339"/>
    </row>
    <row r="208" spans="11:12" x14ac:dyDescent="0.3">
      <c r="K208" s="339"/>
      <c r="L208" s="339"/>
    </row>
    <row r="209" spans="11:12" x14ac:dyDescent="0.3">
      <c r="K209" s="339"/>
      <c r="L209" s="339"/>
    </row>
    <row r="210" spans="11:12" x14ac:dyDescent="0.3">
      <c r="K210" s="339"/>
      <c r="L210" s="339"/>
    </row>
    <row r="211" spans="11:12" x14ac:dyDescent="0.3">
      <c r="K211" s="339"/>
      <c r="L211" s="339"/>
    </row>
    <row r="212" spans="11:12" x14ac:dyDescent="0.3">
      <c r="K212" s="339"/>
      <c r="L212" s="339"/>
    </row>
    <row r="213" spans="11:12" x14ac:dyDescent="0.3">
      <c r="K213" s="339"/>
      <c r="L213" s="339"/>
    </row>
    <row r="214" spans="11:12" x14ac:dyDescent="0.3">
      <c r="K214" s="339"/>
      <c r="L214" s="339"/>
    </row>
    <row r="215" spans="11:12" x14ac:dyDescent="0.3">
      <c r="K215" s="339"/>
      <c r="L215" s="339"/>
    </row>
    <row r="216" spans="11:12" x14ac:dyDescent="0.3">
      <c r="K216" s="339"/>
      <c r="L216" s="339"/>
    </row>
    <row r="217" spans="11:12" x14ac:dyDescent="0.3">
      <c r="K217" s="339"/>
      <c r="L217" s="339"/>
    </row>
    <row r="218" spans="11:12" x14ac:dyDescent="0.3">
      <c r="K218" s="339"/>
      <c r="L218" s="339"/>
    </row>
    <row r="219" spans="11:12" x14ac:dyDescent="0.3">
      <c r="K219" s="339"/>
      <c r="L219" s="339"/>
    </row>
    <row r="220" spans="11:12" x14ac:dyDescent="0.3">
      <c r="K220" s="339"/>
      <c r="L220" s="339"/>
    </row>
    <row r="221" spans="11:12" x14ac:dyDescent="0.3">
      <c r="K221" s="339"/>
      <c r="L221" s="339"/>
    </row>
    <row r="222" spans="11:12" x14ac:dyDescent="0.3">
      <c r="K222" s="339"/>
      <c r="L222" s="339"/>
    </row>
    <row r="223" spans="11:12" x14ac:dyDescent="0.3">
      <c r="K223" s="339"/>
      <c r="L223" s="339"/>
    </row>
    <row r="224" spans="11:12" x14ac:dyDescent="0.3">
      <c r="K224" s="339"/>
      <c r="L224" s="339"/>
    </row>
    <row r="225" spans="11:12" x14ac:dyDescent="0.3">
      <c r="K225" s="339"/>
      <c r="L225" s="339"/>
    </row>
    <row r="226" spans="11:12" x14ac:dyDescent="0.3">
      <c r="K226" s="339"/>
      <c r="L226" s="339"/>
    </row>
    <row r="227" spans="11:12" x14ac:dyDescent="0.3">
      <c r="K227" s="339"/>
      <c r="L227" s="339"/>
    </row>
    <row r="228" spans="11:12" x14ac:dyDescent="0.3">
      <c r="K228" s="339"/>
      <c r="L228" s="339"/>
    </row>
    <row r="229" spans="11:12" x14ac:dyDescent="0.3">
      <c r="K229" s="339"/>
      <c r="L229" s="339"/>
    </row>
    <row r="230" spans="11:12" x14ac:dyDescent="0.3">
      <c r="K230" s="339"/>
      <c r="L230" s="339"/>
    </row>
    <row r="231" spans="11:12" x14ac:dyDescent="0.3">
      <c r="K231" s="339"/>
      <c r="L231" s="339"/>
    </row>
    <row r="232" spans="11:12" x14ac:dyDescent="0.3">
      <c r="K232" s="339"/>
      <c r="L232" s="339"/>
    </row>
    <row r="233" spans="11:12" x14ac:dyDescent="0.3">
      <c r="K233" s="339"/>
      <c r="L233" s="339"/>
    </row>
    <row r="234" spans="11:12" x14ac:dyDescent="0.3">
      <c r="K234" s="339"/>
      <c r="L234" s="339"/>
    </row>
    <row r="235" spans="11:12" x14ac:dyDescent="0.3">
      <c r="K235" s="339"/>
      <c r="L235" s="339"/>
    </row>
    <row r="236" spans="11:12" x14ac:dyDescent="0.3">
      <c r="K236" s="339"/>
      <c r="L236" s="339"/>
    </row>
    <row r="237" spans="11:12" x14ac:dyDescent="0.3">
      <c r="K237" s="339"/>
      <c r="L237" s="339"/>
    </row>
    <row r="238" spans="11:12" x14ac:dyDescent="0.3">
      <c r="K238" s="339"/>
      <c r="L238" s="339"/>
    </row>
    <row r="239" spans="11:12" x14ac:dyDescent="0.3">
      <c r="K239" s="339"/>
      <c r="L239" s="339"/>
    </row>
    <row r="240" spans="11:12" x14ac:dyDescent="0.3">
      <c r="K240" s="339"/>
      <c r="L240" s="339"/>
    </row>
    <row r="241" spans="11:12" x14ac:dyDescent="0.3">
      <c r="K241" s="339"/>
      <c r="L241" s="339"/>
    </row>
    <row r="242" spans="11:12" x14ac:dyDescent="0.3">
      <c r="K242" s="339"/>
      <c r="L242" s="339"/>
    </row>
    <row r="243" spans="11:12" x14ac:dyDescent="0.3">
      <c r="K243" s="339"/>
      <c r="L243" s="339"/>
    </row>
    <row r="244" spans="11:12" x14ac:dyDescent="0.3">
      <c r="K244" s="339"/>
      <c r="L244" s="339"/>
    </row>
    <row r="245" spans="11:12" x14ac:dyDescent="0.3">
      <c r="K245" s="339"/>
      <c r="L245" s="339"/>
    </row>
    <row r="246" spans="11:12" x14ac:dyDescent="0.3">
      <c r="K246" s="339"/>
      <c r="L246" s="339"/>
    </row>
    <row r="247" spans="11:12" x14ac:dyDescent="0.3">
      <c r="K247" s="339"/>
      <c r="L247" s="339"/>
    </row>
    <row r="248" spans="11:12" x14ac:dyDescent="0.3">
      <c r="K248" s="339"/>
      <c r="L248" s="339"/>
    </row>
    <row r="249" spans="11:12" x14ac:dyDescent="0.3">
      <c r="K249" s="339"/>
      <c r="L249" s="339"/>
    </row>
    <row r="250" spans="11:12" x14ac:dyDescent="0.3">
      <c r="K250" s="339"/>
      <c r="L250" s="339"/>
    </row>
    <row r="251" spans="11:12" x14ac:dyDescent="0.3">
      <c r="K251" s="339"/>
      <c r="L251" s="339"/>
    </row>
    <row r="252" spans="11:12" x14ac:dyDescent="0.3">
      <c r="K252" s="339"/>
      <c r="L252" s="339"/>
    </row>
    <row r="253" spans="11:12" x14ac:dyDescent="0.3">
      <c r="K253" s="339"/>
      <c r="L253" s="339"/>
    </row>
    <row r="254" spans="11:12" x14ac:dyDescent="0.3">
      <c r="K254" s="339"/>
      <c r="L254" s="339"/>
    </row>
    <row r="255" spans="11:12" x14ac:dyDescent="0.3">
      <c r="K255" s="339"/>
      <c r="L255" s="339"/>
    </row>
    <row r="256" spans="11:12" x14ac:dyDescent="0.3">
      <c r="K256" s="339"/>
      <c r="L256" s="339"/>
    </row>
    <row r="257" spans="11:12" x14ac:dyDescent="0.3">
      <c r="K257" s="339"/>
      <c r="L257" s="339"/>
    </row>
    <row r="258" spans="11:12" x14ac:dyDescent="0.3">
      <c r="K258" s="339"/>
      <c r="L258" s="339"/>
    </row>
    <row r="259" spans="11:12" x14ac:dyDescent="0.3">
      <c r="K259" s="339"/>
      <c r="L259" s="339"/>
    </row>
    <row r="260" spans="11:12" x14ac:dyDescent="0.3">
      <c r="K260" s="339"/>
      <c r="L260" s="339"/>
    </row>
    <row r="261" spans="11:12" x14ac:dyDescent="0.3">
      <c r="K261" s="339"/>
      <c r="L261" s="339"/>
    </row>
    <row r="262" spans="11:12" x14ac:dyDescent="0.3">
      <c r="K262" s="339"/>
      <c r="L262" s="339"/>
    </row>
    <row r="263" spans="11:12" x14ac:dyDescent="0.3">
      <c r="K263" s="339"/>
      <c r="L263" s="339"/>
    </row>
    <row r="264" spans="11:12" x14ac:dyDescent="0.3">
      <c r="K264" s="339"/>
      <c r="L264" s="339"/>
    </row>
    <row r="265" spans="11:12" x14ac:dyDescent="0.3">
      <c r="K265" s="339"/>
      <c r="L265" s="339"/>
    </row>
    <row r="266" spans="11:12" x14ac:dyDescent="0.3">
      <c r="K266" s="339"/>
      <c r="L266" s="339"/>
    </row>
    <row r="267" spans="11:12" x14ac:dyDescent="0.3">
      <c r="K267" s="339"/>
      <c r="L267" s="339"/>
    </row>
    <row r="268" spans="11:12" x14ac:dyDescent="0.3">
      <c r="K268" s="339"/>
      <c r="L268" s="339"/>
    </row>
    <row r="269" spans="11:12" x14ac:dyDescent="0.3">
      <c r="K269" s="339"/>
      <c r="L269" s="339"/>
    </row>
    <row r="270" spans="11:12" x14ac:dyDescent="0.3">
      <c r="K270" s="339"/>
      <c r="L270" s="339"/>
    </row>
    <row r="271" spans="11:12" x14ac:dyDescent="0.3">
      <c r="K271" s="339"/>
      <c r="L271" s="339"/>
    </row>
    <row r="272" spans="11:12" x14ac:dyDescent="0.3">
      <c r="K272" s="339"/>
      <c r="L272" s="339"/>
    </row>
    <row r="273" spans="11:12" x14ac:dyDescent="0.3">
      <c r="K273" s="339"/>
      <c r="L273" s="339"/>
    </row>
    <row r="274" spans="11:12" x14ac:dyDescent="0.3">
      <c r="K274" s="339"/>
      <c r="L274" s="339"/>
    </row>
    <row r="275" spans="11:12" x14ac:dyDescent="0.3">
      <c r="K275" s="339"/>
      <c r="L275" s="339"/>
    </row>
    <row r="276" spans="11:12" x14ac:dyDescent="0.3">
      <c r="K276" s="339"/>
      <c r="L276" s="339"/>
    </row>
    <row r="277" spans="11:12" x14ac:dyDescent="0.3">
      <c r="K277" s="339"/>
      <c r="L277" s="339"/>
    </row>
    <row r="278" spans="11:12" x14ac:dyDescent="0.3">
      <c r="K278" s="339"/>
      <c r="L278" s="339"/>
    </row>
    <row r="279" spans="11:12" x14ac:dyDescent="0.3">
      <c r="K279" s="339"/>
      <c r="L279" s="339"/>
    </row>
    <row r="280" spans="11:12" x14ac:dyDescent="0.3">
      <c r="K280" s="339"/>
      <c r="L280" s="339"/>
    </row>
    <row r="281" spans="11:12" x14ac:dyDescent="0.3">
      <c r="K281" s="339"/>
      <c r="L281" s="339"/>
    </row>
    <row r="282" spans="11:12" x14ac:dyDescent="0.3">
      <c r="K282" s="339"/>
      <c r="L282" s="339"/>
    </row>
    <row r="283" spans="11:12" x14ac:dyDescent="0.3">
      <c r="K283" s="339"/>
      <c r="L283" s="339"/>
    </row>
    <row r="284" spans="11:12" x14ac:dyDescent="0.3">
      <c r="K284" s="339"/>
      <c r="L284" s="339"/>
    </row>
    <row r="285" spans="11:12" x14ac:dyDescent="0.3">
      <c r="K285" s="339"/>
      <c r="L285" s="339"/>
    </row>
    <row r="286" spans="11:12" x14ac:dyDescent="0.3">
      <c r="K286" s="339"/>
      <c r="L286" s="339"/>
    </row>
    <row r="287" spans="11:12" x14ac:dyDescent="0.3">
      <c r="K287" s="339"/>
      <c r="L287" s="339"/>
    </row>
    <row r="288" spans="11:12" x14ac:dyDescent="0.3">
      <c r="K288" s="339"/>
      <c r="L288" s="339"/>
    </row>
    <row r="289" spans="11:12" x14ac:dyDescent="0.3">
      <c r="K289" s="339"/>
      <c r="L289" s="339"/>
    </row>
    <row r="290" spans="11:12" x14ac:dyDescent="0.3">
      <c r="K290" s="339"/>
      <c r="L290" s="339"/>
    </row>
    <row r="291" spans="11:12" x14ac:dyDescent="0.3">
      <c r="K291" s="339"/>
      <c r="L291" s="339"/>
    </row>
    <row r="292" spans="11:12" x14ac:dyDescent="0.3">
      <c r="K292" s="339"/>
      <c r="L292" s="339"/>
    </row>
    <row r="293" spans="11:12" x14ac:dyDescent="0.3">
      <c r="K293" s="339"/>
      <c r="L293" s="339"/>
    </row>
    <row r="294" spans="11:12" x14ac:dyDescent="0.3">
      <c r="K294" s="339"/>
      <c r="L294" s="339"/>
    </row>
    <row r="295" spans="11:12" x14ac:dyDescent="0.3">
      <c r="K295" s="339"/>
      <c r="L295" s="339"/>
    </row>
    <row r="296" spans="11:12" x14ac:dyDescent="0.3">
      <c r="K296" s="339"/>
      <c r="L296" s="339"/>
    </row>
    <row r="297" spans="11:12" x14ac:dyDescent="0.3">
      <c r="K297" s="339"/>
      <c r="L297" s="339"/>
    </row>
    <row r="298" spans="11:12" x14ac:dyDescent="0.3">
      <c r="K298" s="339"/>
      <c r="L298" s="339"/>
    </row>
    <row r="299" spans="11:12" x14ac:dyDescent="0.3">
      <c r="K299" s="339"/>
      <c r="L299" s="339"/>
    </row>
    <row r="300" spans="11:12" x14ac:dyDescent="0.3">
      <c r="K300" s="339"/>
      <c r="L300" s="339"/>
    </row>
    <row r="301" spans="11:12" x14ac:dyDescent="0.3">
      <c r="K301" s="339"/>
      <c r="L301" s="339"/>
    </row>
    <row r="302" spans="11:12" x14ac:dyDescent="0.3">
      <c r="K302" s="339"/>
      <c r="L302" s="339"/>
    </row>
    <row r="303" spans="11:12" x14ac:dyDescent="0.3">
      <c r="K303" s="339"/>
      <c r="L303" s="339"/>
    </row>
    <row r="304" spans="11:12" x14ac:dyDescent="0.3">
      <c r="K304" s="339"/>
      <c r="L304" s="339"/>
    </row>
    <row r="305" spans="11:12" x14ac:dyDescent="0.3">
      <c r="K305" s="339"/>
      <c r="L305" s="339"/>
    </row>
    <row r="306" spans="11:12" x14ac:dyDescent="0.3">
      <c r="K306" s="339"/>
      <c r="L306" s="339"/>
    </row>
    <row r="307" spans="11:12" x14ac:dyDescent="0.3">
      <c r="K307" s="339"/>
      <c r="L307" s="339"/>
    </row>
    <row r="308" spans="11:12" x14ac:dyDescent="0.3">
      <c r="K308" s="339"/>
      <c r="L308" s="339"/>
    </row>
    <row r="309" spans="11:12" x14ac:dyDescent="0.3">
      <c r="K309" s="339"/>
      <c r="L309" s="339"/>
    </row>
    <row r="310" spans="11:12" x14ac:dyDescent="0.3">
      <c r="K310" s="339"/>
      <c r="L310" s="339"/>
    </row>
    <row r="311" spans="11:12" x14ac:dyDescent="0.3">
      <c r="K311" s="339"/>
      <c r="L311" s="339"/>
    </row>
    <row r="312" spans="11:12" x14ac:dyDescent="0.3">
      <c r="K312" s="339"/>
      <c r="L312" s="339"/>
    </row>
    <row r="313" spans="11:12" x14ac:dyDescent="0.3">
      <c r="K313" s="339"/>
      <c r="L313" s="339"/>
    </row>
    <row r="314" spans="11:12" x14ac:dyDescent="0.3">
      <c r="K314" s="339"/>
      <c r="L314" s="339"/>
    </row>
    <row r="315" spans="11:12" x14ac:dyDescent="0.3">
      <c r="K315" s="339"/>
      <c r="L315" s="339"/>
    </row>
    <row r="316" spans="11:12" x14ac:dyDescent="0.3">
      <c r="K316" s="339"/>
      <c r="L316" s="339"/>
    </row>
    <row r="317" spans="11:12" x14ac:dyDescent="0.3">
      <c r="K317" s="339"/>
      <c r="L317" s="339"/>
    </row>
    <row r="318" spans="11:12" x14ac:dyDescent="0.3">
      <c r="K318" s="339"/>
      <c r="L318" s="339"/>
    </row>
    <row r="319" spans="11:12" x14ac:dyDescent="0.3">
      <c r="K319" s="339"/>
      <c r="L319" s="339"/>
    </row>
    <row r="320" spans="11:12" x14ac:dyDescent="0.3">
      <c r="K320" s="339"/>
      <c r="L320" s="339"/>
    </row>
    <row r="321" spans="11:12" x14ac:dyDescent="0.3">
      <c r="K321" s="339"/>
      <c r="L321" s="339"/>
    </row>
    <row r="322" spans="11:12" x14ac:dyDescent="0.3">
      <c r="K322" s="339"/>
      <c r="L322" s="339"/>
    </row>
    <row r="323" spans="11:12" x14ac:dyDescent="0.3">
      <c r="K323" s="339"/>
      <c r="L323" s="339"/>
    </row>
    <row r="324" spans="11:12" x14ac:dyDescent="0.3">
      <c r="K324" s="339"/>
      <c r="L324" s="339"/>
    </row>
    <row r="325" spans="11:12" x14ac:dyDescent="0.3">
      <c r="K325" s="339"/>
      <c r="L325" s="339"/>
    </row>
    <row r="326" spans="11:12" x14ac:dyDescent="0.3">
      <c r="K326" s="339"/>
      <c r="L326" s="339"/>
    </row>
    <row r="327" spans="11:12" x14ac:dyDescent="0.3">
      <c r="K327" s="339"/>
      <c r="L327" s="339"/>
    </row>
    <row r="328" spans="11:12" x14ac:dyDescent="0.3">
      <c r="K328" s="339"/>
      <c r="L328" s="339"/>
    </row>
    <row r="329" spans="11:12" x14ac:dyDescent="0.3">
      <c r="K329" s="339"/>
      <c r="L329" s="339"/>
    </row>
    <row r="330" spans="11:12" x14ac:dyDescent="0.3">
      <c r="K330" s="339"/>
      <c r="L330" s="339"/>
    </row>
    <row r="331" spans="11:12" x14ac:dyDescent="0.3">
      <c r="K331" s="339"/>
      <c r="L331" s="339"/>
    </row>
    <row r="332" spans="11:12" x14ac:dyDescent="0.3">
      <c r="K332" s="339"/>
      <c r="L332" s="339"/>
    </row>
    <row r="333" spans="11:12" x14ac:dyDescent="0.3">
      <c r="K333" s="339"/>
      <c r="L333" s="339"/>
    </row>
    <row r="334" spans="11:12" x14ac:dyDescent="0.3">
      <c r="K334" s="339"/>
      <c r="L334" s="339"/>
    </row>
    <row r="335" spans="11:12" x14ac:dyDescent="0.3">
      <c r="K335" s="339"/>
      <c r="L335" s="339"/>
    </row>
    <row r="336" spans="11:12" x14ac:dyDescent="0.3">
      <c r="K336" s="339"/>
      <c r="L336" s="339"/>
    </row>
    <row r="337" spans="11:12" x14ac:dyDescent="0.3">
      <c r="K337" s="339"/>
      <c r="L337" s="339"/>
    </row>
    <row r="338" spans="11:12" x14ac:dyDescent="0.3">
      <c r="K338" s="339"/>
      <c r="L338" s="339"/>
    </row>
    <row r="339" spans="11:12" x14ac:dyDescent="0.3">
      <c r="K339" s="339"/>
      <c r="L339" s="339"/>
    </row>
    <row r="340" spans="11:12" x14ac:dyDescent="0.3">
      <c r="K340" s="339"/>
      <c r="L340" s="339"/>
    </row>
    <row r="341" spans="11:12" x14ac:dyDescent="0.3">
      <c r="K341" s="339"/>
      <c r="L341" s="339"/>
    </row>
    <row r="342" spans="11:12" x14ac:dyDescent="0.3">
      <c r="K342" s="339"/>
      <c r="L342" s="339"/>
    </row>
    <row r="343" spans="11:12" x14ac:dyDescent="0.3">
      <c r="K343" s="339"/>
      <c r="L343" s="339"/>
    </row>
    <row r="344" spans="11:12" x14ac:dyDescent="0.3">
      <c r="K344" s="339"/>
      <c r="L344" s="339"/>
    </row>
    <row r="345" spans="11:12" x14ac:dyDescent="0.3">
      <c r="K345" s="339"/>
      <c r="L345" s="339"/>
    </row>
    <row r="346" spans="11:12" x14ac:dyDescent="0.3">
      <c r="K346" s="339"/>
      <c r="L346" s="339"/>
    </row>
    <row r="347" spans="11:12" x14ac:dyDescent="0.3">
      <c r="K347" s="339"/>
      <c r="L347" s="339"/>
    </row>
    <row r="348" spans="11:12" x14ac:dyDescent="0.3">
      <c r="K348" s="339"/>
      <c r="L348" s="339"/>
    </row>
    <row r="349" spans="11:12" x14ac:dyDescent="0.3">
      <c r="K349" s="339"/>
      <c r="L349" s="339"/>
    </row>
    <row r="350" spans="11:12" x14ac:dyDescent="0.3">
      <c r="K350" s="339"/>
      <c r="L350" s="339"/>
    </row>
    <row r="351" spans="11:12" x14ac:dyDescent="0.3">
      <c r="K351" s="339"/>
      <c r="L351" s="339"/>
    </row>
    <row r="352" spans="11:12" x14ac:dyDescent="0.3">
      <c r="K352" s="339"/>
      <c r="L352" s="339"/>
    </row>
    <row r="353" spans="11:12" x14ac:dyDescent="0.3">
      <c r="K353" s="339"/>
      <c r="L353" s="339"/>
    </row>
    <row r="354" spans="11:12" x14ac:dyDescent="0.3">
      <c r="K354" s="339"/>
      <c r="L354" s="339"/>
    </row>
    <row r="355" spans="11:12" x14ac:dyDescent="0.3">
      <c r="K355" s="339"/>
      <c r="L355" s="339"/>
    </row>
    <row r="356" spans="11:12" x14ac:dyDescent="0.3">
      <c r="K356" s="339"/>
      <c r="L356" s="339"/>
    </row>
    <row r="357" spans="11:12" x14ac:dyDescent="0.3">
      <c r="K357" s="339"/>
      <c r="L357" s="339"/>
    </row>
    <row r="358" spans="11:12" x14ac:dyDescent="0.3">
      <c r="K358" s="339"/>
      <c r="L358" s="339"/>
    </row>
    <row r="359" spans="11:12" x14ac:dyDescent="0.3">
      <c r="K359" s="339"/>
      <c r="L359" s="339"/>
    </row>
    <row r="360" spans="11:12" x14ac:dyDescent="0.3">
      <c r="K360" s="339"/>
      <c r="L360" s="339"/>
    </row>
    <row r="361" spans="11:12" x14ac:dyDescent="0.3">
      <c r="K361" s="339"/>
      <c r="L361" s="339"/>
    </row>
    <row r="362" spans="11:12" x14ac:dyDescent="0.3">
      <c r="K362" s="339"/>
      <c r="L362" s="339"/>
    </row>
    <row r="363" spans="11:12" x14ac:dyDescent="0.3">
      <c r="K363" s="339"/>
      <c r="L363" s="339"/>
    </row>
    <row r="364" spans="11:12" x14ac:dyDescent="0.3">
      <c r="K364" s="339"/>
      <c r="L364" s="339"/>
    </row>
    <row r="365" spans="11:12" x14ac:dyDescent="0.3">
      <c r="K365" s="339"/>
      <c r="L365" s="339"/>
    </row>
    <row r="366" spans="11:12" x14ac:dyDescent="0.3">
      <c r="K366" s="339"/>
      <c r="L366" s="339"/>
    </row>
    <row r="367" spans="11:12" x14ac:dyDescent="0.3">
      <c r="K367" s="339"/>
      <c r="L367" s="339"/>
    </row>
    <row r="368" spans="11:12" x14ac:dyDescent="0.3">
      <c r="K368" s="339"/>
      <c r="L368" s="339"/>
    </row>
    <row r="369" spans="11:12" x14ac:dyDescent="0.3">
      <c r="K369" s="339"/>
      <c r="L369" s="339"/>
    </row>
    <row r="370" spans="11:12" x14ac:dyDescent="0.3">
      <c r="K370" s="339"/>
      <c r="L370" s="339"/>
    </row>
    <row r="371" spans="11:12" x14ac:dyDescent="0.3">
      <c r="K371" s="339"/>
      <c r="L371" s="339"/>
    </row>
    <row r="372" spans="11:12" x14ac:dyDescent="0.3">
      <c r="K372" s="339"/>
      <c r="L372" s="339"/>
    </row>
    <row r="373" spans="11:12" x14ac:dyDescent="0.3">
      <c r="K373" s="339"/>
      <c r="L373" s="339"/>
    </row>
    <row r="374" spans="11:12" x14ac:dyDescent="0.3">
      <c r="K374" s="339"/>
      <c r="L374" s="339"/>
    </row>
    <row r="375" spans="11:12" x14ac:dyDescent="0.3">
      <c r="K375" s="339"/>
      <c r="L375" s="339"/>
    </row>
    <row r="376" spans="11:12" x14ac:dyDescent="0.3">
      <c r="K376" s="339"/>
      <c r="L376" s="339"/>
    </row>
    <row r="377" spans="11:12" x14ac:dyDescent="0.3">
      <c r="K377" s="339"/>
      <c r="L377" s="339"/>
    </row>
    <row r="378" spans="11:12" x14ac:dyDescent="0.3">
      <c r="K378" s="339"/>
      <c r="L378" s="339"/>
    </row>
    <row r="379" spans="11:12" x14ac:dyDescent="0.3">
      <c r="K379" s="339"/>
      <c r="L379" s="339"/>
    </row>
    <row r="380" spans="11:12" x14ac:dyDescent="0.3">
      <c r="K380" s="339"/>
      <c r="L380" s="339"/>
    </row>
    <row r="381" spans="11:12" x14ac:dyDescent="0.3">
      <c r="K381" s="339"/>
      <c r="L381" s="339"/>
    </row>
  </sheetData>
  <mergeCells count="17">
    <mergeCell ref="A37:A38"/>
    <mergeCell ref="B37:D37"/>
    <mergeCell ref="E37:G37"/>
    <mergeCell ref="A152:A153"/>
    <mergeCell ref="B152:D152"/>
    <mergeCell ref="E152:G152"/>
    <mergeCell ref="A74:A75"/>
    <mergeCell ref="B74:D74"/>
    <mergeCell ref="E74:G74"/>
    <mergeCell ref="A115:A116"/>
    <mergeCell ref="B115:D115"/>
    <mergeCell ref="E115:G115"/>
    <mergeCell ref="A3:A4"/>
    <mergeCell ref="B3:D3"/>
    <mergeCell ref="E3:G3"/>
    <mergeCell ref="I3:I4"/>
    <mergeCell ref="J3:L3"/>
  </mergeCells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B050"/>
  </sheetPr>
  <dimension ref="A1:M137"/>
  <sheetViews>
    <sheetView workbookViewId="0">
      <selection sqref="A1:XFD1048576"/>
    </sheetView>
  </sheetViews>
  <sheetFormatPr defaultColWidth="8.85546875" defaultRowHeight="18.75" x14ac:dyDescent="0.3"/>
  <cols>
    <col min="1" max="1" width="31.140625" style="366" customWidth="1"/>
    <col min="2" max="2" width="11.85546875" style="366" customWidth="1"/>
    <col min="3" max="3" width="12.140625" style="366" customWidth="1"/>
    <col min="4" max="4" width="13.28515625" style="366" customWidth="1"/>
    <col min="5" max="6" width="11.28515625" style="366" customWidth="1"/>
    <col min="7" max="12" width="8.85546875" style="366"/>
    <col min="13" max="13" width="11" style="366" bestFit="1" customWidth="1"/>
    <col min="14" max="16384" width="8.85546875" style="366"/>
  </cols>
  <sheetData>
    <row r="1" spans="1:13" x14ac:dyDescent="0.3">
      <c r="A1" s="385" t="s">
        <v>285</v>
      </c>
      <c r="F1" s="395"/>
      <c r="L1" s="31" t="s">
        <v>66</v>
      </c>
      <c r="M1" s="470">
        <v>596600</v>
      </c>
    </row>
    <row r="2" spans="1:13" x14ac:dyDescent="0.3">
      <c r="D2" s="395"/>
      <c r="F2" s="406"/>
      <c r="L2" s="31" t="s">
        <v>16</v>
      </c>
      <c r="M2" s="471">
        <v>596600</v>
      </c>
    </row>
    <row r="3" spans="1:13" ht="24.95" customHeight="1" x14ac:dyDescent="0.3">
      <c r="A3" s="3497" t="s">
        <v>0</v>
      </c>
      <c r="B3" s="3526" t="s">
        <v>28</v>
      </c>
      <c r="C3" s="3526"/>
      <c r="D3" s="3526"/>
      <c r="L3" s="31"/>
      <c r="M3" s="31"/>
    </row>
    <row r="4" spans="1:13" ht="24.95" customHeight="1" x14ac:dyDescent="0.3">
      <c r="A4" s="3499"/>
      <c r="B4" s="386" t="s">
        <v>28</v>
      </c>
      <c r="C4" s="386" t="s">
        <v>34</v>
      </c>
      <c r="D4" s="386" t="s">
        <v>62</v>
      </c>
    </row>
    <row r="5" spans="1:13" ht="24.95" customHeight="1" thickBot="1" x14ac:dyDescent="0.35">
      <c r="A5" s="407" t="s">
        <v>28</v>
      </c>
      <c r="B5" s="408">
        <v>0</v>
      </c>
      <c r="C5" s="408">
        <v>0</v>
      </c>
      <c r="D5" s="408">
        <v>0</v>
      </c>
    </row>
    <row r="6" spans="1:13" s="385" customFormat="1" ht="24.95" customHeight="1" thickTop="1" x14ac:dyDescent="0.3">
      <c r="A6" s="409" t="s">
        <v>7</v>
      </c>
      <c r="B6" s="410">
        <v>0</v>
      </c>
      <c r="C6" s="410">
        <v>0</v>
      </c>
      <c r="D6" s="410">
        <v>0</v>
      </c>
    </row>
    <row r="7" spans="1:13" ht="24.95" customHeight="1" x14ac:dyDescent="0.3">
      <c r="A7" s="398" t="s">
        <v>8</v>
      </c>
      <c r="B7" s="371">
        <v>0</v>
      </c>
      <c r="C7" s="371"/>
      <c r="D7" s="371"/>
    </row>
    <row r="8" spans="1:13" ht="24.95" customHeight="1" x14ac:dyDescent="0.3">
      <c r="A8" s="398" t="s">
        <v>61</v>
      </c>
      <c r="B8" s="371">
        <v>0</v>
      </c>
      <c r="C8" s="371"/>
      <c r="D8" s="371"/>
    </row>
    <row r="9" spans="1:13" ht="24.95" customHeight="1" x14ac:dyDescent="0.3">
      <c r="A9" s="398" t="s">
        <v>82</v>
      </c>
      <c r="B9" s="371">
        <v>0</v>
      </c>
      <c r="C9" s="371"/>
      <c r="D9" s="371"/>
    </row>
    <row r="10" spans="1:13" ht="24.95" customHeight="1" x14ac:dyDescent="0.3">
      <c r="A10" s="398"/>
      <c r="B10" s="371"/>
      <c r="C10" s="371"/>
      <c r="D10" s="371"/>
    </row>
    <row r="11" spans="1:13" s="385" customFormat="1" ht="24.95" customHeight="1" x14ac:dyDescent="0.3">
      <c r="A11" s="387" t="s">
        <v>9</v>
      </c>
      <c r="B11" s="411">
        <v>0</v>
      </c>
      <c r="C11" s="411">
        <v>0</v>
      </c>
      <c r="D11" s="411">
        <v>0</v>
      </c>
    </row>
    <row r="12" spans="1:13" ht="24.95" customHeight="1" x14ac:dyDescent="0.3">
      <c r="A12" s="398" t="s">
        <v>17</v>
      </c>
      <c r="B12" s="371">
        <v>0</v>
      </c>
      <c r="C12" s="371"/>
      <c r="D12" s="371"/>
    </row>
    <row r="13" spans="1:13" ht="24.95" customHeight="1" x14ac:dyDescent="0.3">
      <c r="A13" s="398" t="s">
        <v>83</v>
      </c>
      <c r="B13" s="371">
        <v>0</v>
      </c>
      <c r="C13" s="371"/>
      <c r="D13" s="371"/>
    </row>
    <row r="14" spans="1:13" ht="24.95" customHeight="1" x14ac:dyDescent="0.3">
      <c r="A14" s="398" t="s">
        <v>84</v>
      </c>
      <c r="B14" s="371">
        <v>0</v>
      </c>
      <c r="C14" s="371"/>
      <c r="D14" s="371"/>
    </row>
    <row r="15" spans="1:13" ht="24.75" customHeight="1" x14ac:dyDescent="0.3">
      <c r="A15" s="398" t="s">
        <v>85</v>
      </c>
      <c r="B15" s="371">
        <v>0</v>
      </c>
      <c r="C15" s="371"/>
      <c r="D15" s="371"/>
    </row>
    <row r="16" spans="1:13" ht="24.95" customHeight="1" x14ac:dyDescent="0.3">
      <c r="A16" s="398" t="s">
        <v>11</v>
      </c>
      <c r="B16" s="371">
        <v>0</v>
      </c>
      <c r="C16" s="371"/>
      <c r="D16" s="371"/>
    </row>
    <row r="17" spans="1:4" ht="24.95" customHeight="1" x14ac:dyDescent="0.3">
      <c r="A17" s="398" t="s">
        <v>101</v>
      </c>
      <c r="B17" s="371">
        <v>0</v>
      </c>
      <c r="C17" s="371"/>
      <c r="D17" s="371"/>
    </row>
    <row r="18" spans="1:4" ht="24.95" customHeight="1" x14ac:dyDescent="0.3">
      <c r="A18" s="398" t="s">
        <v>100</v>
      </c>
      <c r="B18" s="371">
        <v>0</v>
      </c>
      <c r="C18" s="371"/>
      <c r="D18" s="371"/>
    </row>
    <row r="19" spans="1:4" ht="24.95" customHeight="1" x14ac:dyDescent="0.3">
      <c r="A19" s="398" t="s">
        <v>99</v>
      </c>
      <c r="B19" s="371">
        <v>0</v>
      </c>
      <c r="C19" s="371"/>
      <c r="D19" s="371"/>
    </row>
    <row r="20" spans="1:4" ht="24.95" customHeight="1" x14ac:dyDescent="0.3">
      <c r="A20" s="398"/>
      <c r="B20" s="371"/>
      <c r="C20" s="371"/>
      <c r="D20" s="371"/>
    </row>
    <row r="21" spans="1:4" s="385" customFormat="1" ht="24.95" customHeight="1" x14ac:dyDescent="0.3">
      <c r="A21" s="387" t="s">
        <v>12</v>
      </c>
      <c r="B21" s="411">
        <v>0</v>
      </c>
      <c r="C21" s="411">
        <v>0</v>
      </c>
      <c r="D21" s="411">
        <v>0</v>
      </c>
    </row>
    <row r="22" spans="1:4" ht="24.95" customHeight="1" x14ac:dyDescent="0.3">
      <c r="A22" s="398" t="s">
        <v>86</v>
      </c>
      <c r="B22" s="371">
        <v>0</v>
      </c>
      <c r="C22" s="371"/>
      <c r="D22" s="371"/>
    </row>
    <row r="23" spans="1:4" ht="24.95" customHeight="1" x14ac:dyDescent="0.3">
      <c r="A23" s="398" t="s">
        <v>87</v>
      </c>
      <c r="B23" s="371">
        <v>0</v>
      </c>
      <c r="C23" s="371"/>
      <c r="D23" s="371"/>
    </row>
    <row r="24" spans="1:4" ht="24.95" customHeight="1" x14ac:dyDescent="0.3">
      <c r="A24" s="398" t="s">
        <v>14</v>
      </c>
      <c r="B24" s="371">
        <v>0</v>
      </c>
      <c r="C24" s="371"/>
      <c r="D24" s="371"/>
    </row>
    <row r="25" spans="1:4" ht="24.95" customHeight="1" x14ac:dyDescent="0.3">
      <c r="A25" s="398" t="s">
        <v>15</v>
      </c>
      <c r="B25" s="371">
        <v>0</v>
      </c>
      <c r="C25" s="371"/>
      <c r="D25" s="371"/>
    </row>
    <row r="26" spans="1:4" ht="24.95" customHeight="1" x14ac:dyDescent="0.3">
      <c r="A26" s="412"/>
      <c r="B26" s="413"/>
      <c r="C26" s="413"/>
      <c r="D26" s="413"/>
    </row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</sheetData>
  <mergeCells count="2">
    <mergeCell ref="A3:A4"/>
    <mergeCell ref="B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B050"/>
  </sheetPr>
  <dimension ref="A1:O137"/>
  <sheetViews>
    <sheetView workbookViewId="0">
      <selection activeCell="E10" sqref="E10"/>
    </sheetView>
  </sheetViews>
  <sheetFormatPr defaultColWidth="8.85546875" defaultRowHeight="18.75" x14ac:dyDescent="0.3"/>
  <cols>
    <col min="1" max="1" width="31.140625" style="366" customWidth="1"/>
    <col min="2" max="2" width="11.85546875" style="366" customWidth="1"/>
    <col min="3" max="3" width="12.140625" style="366" customWidth="1"/>
    <col min="4" max="4" width="13.28515625" style="366" customWidth="1"/>
    <col min="5" max="6" width="11.28515625" style="366" customWidth="1"/>
    <col min="7" max="12" width="8.85546875" style="366"/>
    <col min="13" max="13" width="11" style="366" bestFit="1" customWidth="1"/>
    <col min="14" max="16384" width="8.85546875" style="366"/>
  </cols>
  <sheetData>
    <row r="1" spans="1:15" x14ac:dyDescent="0.3">
      <c r="A1" s="385" t="s">
        <v>251</v>
      </c>
      <c r="F1" s="395"/>
      <c r="K1" s="31"/>
      <c r="L1" s="31" t="s">
        <v>66</v>
      </c>
      <c r="M1" s="470">
        <v>195800</v>
      </c>
      <c r="N1" s="31"/>
      <c r="O1" s="31"/>
    </row>
    <row r="2" spans="1:15" x14ac:dyDescent="0.3">
      <c r="D2" s="395"/>
      <c r="F2" s="406"/>
      <c r="K2" s="31"/>
      <c r="L2" s="31" t="s">
        <v>16</v>
      </c>
      <c r="M2" s="471">
        <v>195800</v>
      </c>
      <c r="N2" s="31"/>
      <c r="O2" s="31"/>
    </row>
    <row r="3" spans="1:15" ht="24.95" customHeight="1" x14ac:dyDescent="0.3">
      <c r="A3" s="3497" t="s">
        <v>0</v>
      </c>
      <c r="B3" s="3526" t="s">
        <v>28</v>
      </c>
      <c r="C3" s="3526"/>
      <c r="D3" s="3526"/>
      <c r="K3" s="31"/>
      <c r="L3" s="31"/>
      <c r="M3" s="31"/>
      <c r="N3" s="31"/>
      <c r="O3" s="31"/>
    </row>
    <row r="4" spans="1:15" ht="24.95" customHeight="1" x14ac:dyDescent="0.3">
      <c r="A4" s="3499"/>
      <c r="B4" s="386" t="s">
        <v>28</v>
      </c>
      <c r="C4" s="386" t="s">
        <v>34</v>
      </c>
      <c r="D4" s="386" t="s">
        <v>62</v>
      </c>
    </row>
    <row r="5" spans="1:15" ht="24.95" customHeight="1" thickBot="1" x14ac:dyDescent="0.35">
      <c r="A5" s="407" t="s">
        <v>28</v>
      </c>
      <c r="B5" s="408">
        <v>0</v>
      </c>
      <c r="C5" s="408">
        <v>0</v>
      </c>
      <c r="D5" s="408">
        <v>0</v>
      </c>
    </row>
    <row r="6" spans="1:15" s="385" customFormat="1" ht="24.95" customHeight="1" thickTop="1" x14ac:dyDescent="0.3">
      <c r="A6" s="409" t="s">
        <v>7</v>
      </c>
      <c r="B6" s="410">
        <v>0</v>
      </c>
      <c r="C6" s="410">
        <v>0</v>
      </c>
      <c r="D6" s="410">
        <v>0</v>
      </c>
    </row>
    <row r="7" spans="1:15" ht="24.95" customHeight="1" x14ac:dyDescent="0.3">
      <c r="A7" s="398" t="s">
        <v>8</v>
      </c>
      <c r="B7" s="371">
        <v>0</v>
      </c>
      <c r="C7" s="371"/>
      <c r="D7" s="371"/>
    </row>
    <row r="8" spans="1:15" ht="24.95" customHeight="1" x14ac:dyDescent="0.3">
      <c r="A8" s="398" t="s">
        <v>61</v>
      </c>
      <c r="B8" s="371">
        <v>0</v>
      </c>
      <c r="C8" s="371"/>
      <c r="D8" s="371"/>
    </row>
    <row r="9" spans="1:15" ht="24.95" customHeight="1" x14ac:dyDescent="0.3">
      <c r="A9" s="398" t="s">
        <v>82</v>
      </c>
      <c r="B9" s="371">
        <v>0</v>
      </c>
      <c r="C9" s="371"/>
      <c r="D9" s="371"/>
    </row>
    <row r="10" spans="1:15" ht="24.95" customHeight="1" x14ac:dyDescent="0.3">
      <c r="A10" s="398"/>
      <c r="B10" s="371"/>
      <c r="C10" s="371"/>
      <c r="D10" s="371"/>
    </row>
    <row r="11" spans="1:15" s="385" customFormat="1" ht="24.95" customHeight="1" x14ac:dyDescent="0.3">
      <c r="A11" s="387" t="s">
        <v>9</v>
      </c>
      <c r="B11" s="411">
        <v>0</v>
      </c>
      <c r="C11" s="411">
        <v>0</v>
      </c>
      <c r="D11" s="411">
        <v>0</v>
      </c>
    </row>
    <row r="12" spans="1:15" ht="24.95" customHeight="1" x14ac:dyDescent="0.3">
      <c r="A12" s="398" t="s">
        <v>17</v>
      </c>
      <c r="B12" s="371">
        <v>0</v>
      </c>
      <c r="C12" s="371"/>
      <c r="D12" s="371"/>
    </row>
    <row r="13" spans="1:15" ht="24.95" customHeight="1" x14ac:dyDescent="0.3">
      <c r="A13" s="398" t="s">
        <v>83</v>
      </c>
      <c r="B13" s="371">
        <v>0</v>
      </c>
      <c r="C13" s="371"/>
      <c r="D13" s="371"/>
    </row>
    <row r="14" spans="1:15" ht="24.95" customHeight="1" x14ac:dyDescent="0.3">
      <c r="A14" s="398" t="s">
        <v>84</v>
      </c>
      <c r="B14" s="371">
        <v>0</v>
      </c>
      <c r="C14" s="371"/>
      <c r="D14" s="371"/>
    </row>
    <row r="15" spans="1:15" ht="24.75" customHeight="1" x14ac:dyDescent="0.3">
      <c r="A15" s="398" t="s">
        <v>85</v>
      </c>
      <c r="B15" s="371">
        <v>0</v>
      </c>
      <c r="C15" s="371"/>
      <c r="D15" s="371"/>
    </row>
    <row r="16" spans="1:15" ht="24.95" customHeight="1" x14ac:dyDescent="0.3">
      <c r="A16" s="398" t="s">
        <v>11</v>
      </c>
      <c r="B16" s="371">
        <v>0</v>
      </c>
      <c r="C16" s="371"/>
      <c r="D16" s="371"/>
    </row>
    <row r="17" spans="1:4" ht="24.95" customHeight="1" x14ac:dyDescent="0.3">
      <c r="A17" s="398" t="s">
        <v>101</v>
      </c>
      <c r="B17" s="371">
        <v>0</v>
      </c>
      <c r="C17" s="371"/>
      <c r="D17" s="371"/>
    </row>
    <row r="18" spans="1:4" ht="24.95" customHeight="1" x14ac:dyDescent="0.3">
      <c r="A18" s="398" t="s">
        <v>100</v>
      </c>
      <c r="B18" s="371">
        <v>0</v>
      </c>
      <c r="C18" s="371"/>
      <c r="D18" s="371"/>
    </row>
    <row r="19" spans="1:4" ht="24.95" customHeight="1" x14ac:dyDescent="0.3">
      <c r="A19" s="398" t="s">
        <v>99</v>
      </c>
      <c r="B19" s="371">
        <v>0</v>
      </c>
      <c r="C19" s="371"/>
      <c r="D19" s="371"/>
    </row>
    <row r="20" spans="1:4" ht="24.95" customHeight="1" x14ac:dyDescent="0.3">
      <c r="A20" s="398"/>
      <c r="B20" s="371"/>
      <c r="C20" s="371"/>
      <c r="D20" s="371"/>
    </row>
    <row r="21" spans="1:4" s="385" customFormat="1" ht="24.95" customHeight="1" x14ac:dyDescent="0.3">
      <c r="A21" s="387" t="s">
        <v>12</v>
      </c>
      <c r="B21" s="411">
        <v>0</v>
      </c>
      <c r="C21" s="411">
        <v>0</v>
      </c>
      <c r="D21" s="411">
        <v>0</v>
      </c>
    </row>
    <row r="22" spans="1:4" ht="24.95" customHeight="1" x14ac:dyDescent="0.3">
      <c r="A22" s="398" t="s">
        <v>86</v>
      </c>
      <c r="B22" s="371">
        <v>0</v>
      </c>
      <c r="C22" s="371"/>
      <c r="D22" s="371"/>
    </row>
    <row r="23" spans="1:4" ht="24.95" customHeight="1" x14ac:dyDescent="0.3">
      <c r="A23" s="398" t="s">
        <v>87</v>
      </c>
      <c r="B23" s="371">
        <v>0</v>
      </c>
      <c r="C23" s="371"/>
      <c r="D23" s="371"/>
    </row>
    <row r="24" spans="1:4" ht="24.95" customHeight="1" x14ac:dyDescent="0.3">
      <c r="A24" s="398" t="s">
        <v>14</v>
      </c>
      <c r="B24" s="371">
        <v>0</v>
      </c>
      <c r="C24" s="371"/>
      <c r="D24" s="371"/>
    </row>
    <row r="25" spans="1:4" ht="24.95" customHeight="1" x14ac:dyDescent="0.3">
      <c r="A25" s="398" t="s">
        <v>15</v>
      </c>
      <c r="B25" s="371">
        <v>0</v>
      </c>
      <c r="C25" s="371"/>
      <c r="D25" s="371"/>
    </row>
    <row r="26" spans="1:4" ht="24.95" customHeight="1" x14ac:dyDescent="0.3">
      <c r="A26" s="412"/>
      <c r="B26" s="413"/>
      <c r="C26" s="413"/>
      <c r="D26" s="413"/>
    </row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</sheetData>
  <mergeCells count="2">
    <mergeCell ref="A3:A4"/>
    <mergeCell ref="B3:D3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CX100"/>
  <sheetViews>
    <sheetView workbookViewId="0">
      <selection activeCell="CE1" sqref="CE1:CV65536"/>
    </sheetView>
  </sheetViews>
  <sheetFormatPr defaultColWidth="9.140625" defaultRowHeight="24" x14ac:dyDescent="0.55000000000000004"/>
  <cols>
    <col min="1" max="1" width="34.42578125" style="79" customWidth="1"/>
    <col min="2" max="2" width="23.5703125" style="80" customWidth="1"/>
    <col min="3" max="7" width="7.85546875" style="80" hidden="1" customWidth="1"/>
    <col min="8" max="8" width="18.140625" style="80" customWidth="1"/>
    <col min="9" max="9" width="18" style="80" customWidth="1"/>
    <col min="10" max="10" width="22.85546875" style="80" customWidth="1"/>
    <col min="11" max="12" width="20.28515625" style="80" customWidth="1"/>
    <col min="13" max="13" width="7.85546875" style="80" hidden="1" customWidth="1"/>
    <col min="14" max="14" width="7.85546875" style="81" hidden="1" customWidth="1"/>
    <col min="15" max="19" width="7.85546875" style="80" hidden="1" customWidth="1"/>
    <col min="20" max="20" width="22.28515625" style="80" customWidth="1"/>
    <col min="21" max="22" width="19.28515625" style="80" customWidth="1"/>
    <col min="23" max="29" width="7.85546875" style="80" hidden="1" customWidth="1"/>
    <col min="30" max="30" width="22.5703125" style="80" customWidth="1"/>
    <col min="31" max="32" width="20.140625" style="80" customWidth="1"/>
    <col min="33" max="33" width="7.85546875" style="80" hidden="1" customWidth="1"/>
    <col min="34" max="34" width="7.85546875" style="176" hidden="1" customWidth="1"/>
    <col min="35" max="39" width="7.85546875" style="80" hidden="1" customWidth="1"/>
    <col min="40" max="40" width="22.42578125" style="80" customWidth="1"/>
    <col min="41" max="42" width="20" style="80" customWidth="1"/>
    <col min="43" max="49" width="7.85546875" style="80" hidden="1" customWidth="1"/>
    <col min="50" max="50" width="22.5703125" style="80" customWidth="1"/>
    <col min="51" max="52" width="20.140625" style="80" customWidth="1"/>
    <col min="53" max="53" width="7.85546875" style="80" hidden="1" customWidth="1"/>
    <col min="54" max="54" width="7.140625" style="80" hidden="1" customWidth="1"/>
    <col min="55" max="59" width="7.85546875" style="80" hidden="1" customWidth="1"/>
    <col min="60" max="60" width="22.28515625" style="80" customWidth="1"/>
    <col min="61" max="62" width="19.85546875" style="80" customWidth="1"/>
    <col min="63" max="63" width="10.28515625" style="80" hidden="1" customWidth="1"/>
    <col min="64" max="69" width="7.85546875" style="80" hidden="1" customWidth="1"/>
    <col min="70" max="70" width="22.140625" style="80" customWidth="1"/>
    <col min="71" max="72" width="20" style="80" customWidth="1"/>
    <col min="73" max="73" width="10.28515625" style="80" hidden="1" customWidth="1"/>
    <col min="74" max="74" width="8.140625" style="80" hidden="1" customWidth="1"/>
    <col min="75" max="79" width="7.85546875" style="80" hidden="1" customWidth="1"/>
    <col min="80" max="80" width="22" style="80" customWidth="1"/>
    <col min="81" max="82" width="20.140625" style="80" customWidth="1"/>
    <col min="83" max="83" width="8.140625" style="80" hidden="1" customWidth="1"/>
    <col min="84" max="84" width="6.5703125" style="80" hidden="1" customWidth="1"/>
    <col min="85" max="89" width="7.85546875" style="80" hidden="1" customWidth="1"/>
    <col min="90" max="92" width="0" style="79" hidden="1" customWidth="1"/>
    <col min="93" max="94" width="7.85546875" style="80" hidden="1" customWidth="1"/>
    <col min="95" max="96" width="0" style="79" hidden="1" customWidth="1"/>
    <col min="97" max="97" width="9.140625" style="79" hidden="1" customWidth="1"/>
    <col min="98" max="100" width="0" style="79" hidden="1" customWidth="1"/>
    <col min="101" max="101" width="9.140625" style="79"/>
    <col min="102" max="102" width="10.42578125" style="82" bestFit="1" customWidth="1"/>
    <col min="103" max="16384" width="9.140625" style="82"/>
  </cols>
  <sheetData>
    <row r="1" spans="1:102" x14ac:dyDescent="0.55000000000000004">
      <c r="AH1" s="81"/>
    </row>
    <row r="2" spans="1:102" ht="26.25" x14ac:dyDescent="0.55000000000000004">
      <c r="A2" s="184" t="s">
        <v>122</v>
      </c>
      <c r="N2" s="83"/>
      <c r="AH2" s="83"/>
    </row>
    <row r="3" spans="1:102" x14ac:dyDescent="0.55000000000000004">
      <c r="A3" s="3554" t="s">
        <v>0</v>
      </c>
      <c r="B3" s="3552" t="s">
        <v>2</v>
      </c>
      <c r="C3" s="3546"/>
      <c r="D3" s="3546"/>
      <c r="E3" s="3546"/>
      <c r="F3" s="3546"/>
      <c r="G3" s="3546"/>
      <c r="H3" s="3546"/>
      <c r="I3" s="3547"/>
      <c r="J3" s="3545" t="s">
        <v>1</v>
      </c>
      <c r="K3" s="3546"/>
      <c r="L3" s="3558"/>
      <c r="M3" s="191"/>
      <c r="N3" s="191"/>
      <c r="O3" s="191"/>
      <c r="P3" s="191"/>
      <c r="Q3" s="191"/>
      <c r="R3" s="191"/>
      <c r="S3" s="192"/>
      <c r="T3" s="3545" t="s">
        <v>3</v>
      </c>
      <c r="U3" s="3546"/>
      <c r="V3" s="3547"/>
      <c r="W3" s="191"/>
      <c r="X3" s="191"/>
      <c r="Y3" s="191"/>
      <c r="Z3" s="191"/>
      <c r="AA3" s="191"/>
      <c r="AB3" s="191"/>
      <c r="AC3" s="192"/>
      <c r="AD3" s="3545" t="s">
        <v>24</v>
      </c>
      <c r="AE3" s="3546"/>
      <c r="AF3" s="3546"/>
      <c r="AG3" s="197"/>
      <c r="AH3" s="197"/>
      <c r="AI3" s="197"/>
      <c r="AJ3" s="197"/>
      <c r="AK3" s="197"/>
      <c r="AL3" s="197"/>
      <c r="AM3" s="198"/>
      <c r="AN3" s="3545" t="s">
        <v>23</v>
      </c>
      <c r="AO3" s="3546"/>
      <c r="AP3" s="3547"/>
      <c r="AQ3" s="191"/>
      <c r="AR3" s="191"/>
      <c r="AS3" s="191"/>
      <c r="AT3" s="191"/>
      <c r="AU3" s="191"/>
      <c r="AV3" s="191"/>
      <c r="AW3" s="192"/>
      <c r="AX3" s="3545" t="s">
        <v>4</v>
      </c>
      <c r="AY3" s="3546"/>
      <c r="AZ3" s="3547"/>
      <c r="BA3" s="191"/>
      <c r="BB3" s="191"/>
      <c r="BC3" s="191"/>
      <c r="BD3" s="191"/>
      <c r="BE3" s="191"/>
      <c r="BF3" s="191"/>
      <c r="BG3" s="192"/>
      <c r="BH3" s="3545" t="s">
        <v>20</v>
      </c>
      <c r="BI3" s="3546"/>
      <c r="BJ3" s="3547"/>
      <c r="BK3" s="191"/>
      <c r="BL3" s="191"/>
      <c r="BM3" s="191"/>
      <c r="BN3" s="191"/>
      <c r="BO3" s="191"/>
      <c r="BP3" s="191"/>
      <c r="BQ3" s="192"/>
      <c r="BR3" s="3545" t="s">
        <v>5</v>
      </c>
      <c r="BS3" s="3546"/>
      <c r="BT3" s="3547"/>
      <c r="BU3" s="191"/>
      <c r="BV3" s="191"/>
      <c r="BW3" s="191"/>
      <c r="BX3" s="191"/>
      <c r="BY3" s="191"/>
      <c r="BZ3" s="191"/>
      <c r="CA3" s="192"/>
      <c r="CB3" s="3545" t="s">
        <v>21</v>
      </c>
      <c r="CC3" s="3546"/>
      <c r="CD3" s="3546"/>
      <c r="CE3" s="191"/>
      <c r="CF3" s="191"/>
      <c r="CG3" s="191"/>
      <c r="CH3" s="191"/>
      <c r="CI3" s="191"/>
      <c r="CJ3" s="191"/>
      <c r="CK3" s="192"/>
      <c r="CL3" s="3535" t="s">
        <v>105</v>
      </c>
      <c r="CM3" s="3543" t="s">
        <v>106</v>
      </c>
      <c r="CN3" s="3541" t="s">
        <v>107</v>
      </c>
      <c r="CO3" s="3527" t="s">
        <v>116</v>
      </c>
      <c r="CP3" s="3539" t="s">
        <v>117</v>
      </c>
      <c r="CQ3" s="3529" t="s">
        <v>108</v>
      </c>
      <c r="CR3" s="3530"/>
      <c r="CS3" s="3530"/>
      <c r="CT3" s="3530" t="s">
        <v>109</v>
      </c>
      <c r="CU3" s="3530"/>
      <c r="CV3" s="3533"/>
    </row>
    <row r="4" spans="1:102" x14ac:dyDescent="0.55000000000000004">
      <c r="A4" s="3555"/>
      <c r="B4" s="85" t="s">
        <v>118</v>
      </c>
      <c r="C4" s="3537" t="s">
        <v>123</v>
      </c>
      <c r="D4" s="3537"/>
      <c r="E4" s="3537"/>
      <c r="F4" s="3537"/>
      <c r="G4" s="3537"/>
      <c r="H4" s="3537"/>
      <c r="I4" s="3538"/>
      <c r="J4" s="193" t="s">
        <v>118</v>
      </c>
      <c r="K4" s="3537" t="s">
        <v>123</v>
      </c>
      <c r="L4" s="3557"/>
      <c r="M4" s="188"/>
      <c r="N4" s="189"/>
      <c r="O4" s="86" t="s">
        <v>114</v>
      </c>
      <c r="P4" s="87" t="s">
        <v>115</v>
      </c>
      <c r="Q4" s="87" t="s">
        <v>116</v>
      </c>
      <c r="R4" s="88" t="s">
        <v>117</v>
      </c>
      <c r="S4" s="3553" t="s">
        <v>16</v>
      </c>
      <c r="T4" s="193" t="s">
        <v>118</v>
      </c>
      <c r="U4" s="3537" t="s">
        <v>123</v>
      </c>
      <c r="V4" s="3538"/>
      <c r="W4" s="188"/>
      <c r="X4" s="189"/>
      <c r="Y4" s="86" t="s">
        <v>114</v>
      </c>
      <c r="Z4" s="87" t="s">
        <v>115</v>
      </c>
      <c r="AA4" s="87" t="s">
        <v>116</v>
      </c>
      <c r="AB4" s="88" t="s">
        <v>117</v>
      </c>
      <c r="AC4" s="3553" t="s">
        <v>16</v>
      </c>
      <c r="AD4" s="193" t="s">
        <v>118</v>
      </c>
      <c r="AE4" s="3537" t="s">
        <v>123</v>
      </c>
      <c r="AF4" s="3538"/>
      <c r="AG4" s="188"/>
      <c r="AH4" s="189"/>
      <c r="AI4" s="89" t="s">
        <v>114</v>
      </c>
      <c r="AJ4" s="90" t="s">
        <v>115</v>
      </c>
      <c r="AK4" s="90" t="s">
        <v>116</v>
      </c>
      <c r="AL4" s="91" t="s">
        <v>117</v>
      </c>
      <c r="AM4" s="3550" t="s">
        <v>16</v>
      </c>
      <c r="AN4" s="193" t="s">
        <v>118</v>
      </c>
      <c r="AO4" s="3537" t="s">
        <v>123</v>
      </c>
      <c r="AP4" s="3538"/>
      <c r="AQ4" s="188"/>
      <c r="AR4" s="189"/>
      <c r="AS4" s="89" t="s">
        <v>114</v>
      </c>
      <c r="AT4" s="90" t="s">
        <v>115</v>
      </c>
      <c r="AU4" s="90" t="s">
        <v>116</v>
      </c>
      <c r="AV4" s="91" t="s">
        <v>117</v>
      </c>
      <c r="AW4" s="3550" t="s">
        <v>16</v>
      </c>
      <c r="AX4" s="193" t="s">
        <v>118</v>
      </c>
      <c r="AY4" s="3537" t="s">
        <v>123</v>
      </c>
      <c r="AZ4" s="3538"/>
      <c r="BA4" s="188"/>
      <c r="BB4" s="189"/>
      <c r="BC4" s="89" t="s">
        <v>114</v>
      </c>
      <c r="BD4" s="90" t="s">
        <v>115</v>
      </c>
      <c r="BE4" s="90" t="s">
        <v>116</v>
      </c>
      <c r="BF4" s="91" t="s">
        <v>117</v>
      </c>
      <c r="BG4" s="3550" t="s">
        <v>16</v>
      </c>
      <c r="BH4" s="193" t="s">
        <v>118</v>
      </c>
      <c r="BI4" s="3537" t="s">
        <v>123</v>
      </c>
      <c r="BJ4" s="3538"/>
      <c r="BK4" s="188"/>
      <c r="BL4" s="189"/>
      <c r="BM4" s="89" t="s">
        <v>114</v>
      </c>
      <c r="BN4" s="90" t="s">
        <v>115</v>
      </c>
      <c r="BO4" s="90" t="s">
        <v>116</v>
      </c>
      <c r="BP4" s="91" t="s">
        <v>117</v>
      </c>
      <c r="BQ4" s="3548" t="s">
        <v>16</v>
      </c>
      <c r="BR4" s="193" t="s">
        <v>118</v>
      </c>
      <c r="BS4" s="3537" t="s">
        <v>123</v>
      </c>
      <c r="BT4" s="3538"/>
      <c r="BU4" s="188"/>
      <c r="BV4" s="189"/>
      <c r="BW4" s="89" t="s">
        <v>114</v>
      </c>
      <c r="BX4" s="90" t="s">
        <v>115</v>
      </c>
      <c r="BY4" s="90" t="s">
        <v>116</v>
      </c>
      <c r="BZ4" s="91" t="s">
        <v>117</v>
      </c>
      <c r="CA4" s="3548" t="s">
        <v>16</v>
      </c>
      <c r="CB4" s="193" t="s">
        <v>118</v>
      </c>
      <c r="CC4" s="3537" t="s">
        <v>123</v>
      </c>
      <c r="CD4" s="3538"/>
      <c r="CE4" s="188"/>
      <c r="CF4" s="189"/>
      <c r="CG4" s="89" t="s">
        <v>114</v>
      </c>
      <c r="CH4" s="90" t="s">
        <v>115</v>
      </c>
      <c r="CI4" s="90" t="s">
        <v>116</v>
      </c>
      <c r="CJ4" s="91" t="s">
        <v>117</v>
      </c>
      <c r="CK4" s="3548" t="s">
        <v>16</v>
      </c>
      <c r="CL4" s="3536"/>
      <c r="CM4" s="3544"/>
      <c r="CN4" s="3542"/>
      <c r="CO4" s="3528"/>
      <c r="CP4" s="3540"/>
      <c r="CQ4" s="3531"/>
      <c r="CR4" s="3532"/>
      <c r="CS4" s="3532"/>
      <c r="CT4" s="3532"/>
      <c r="CU4" s="3532"/>
      <c r="CV4" s="3534"/>
    </row>
    <row r="5" spans="1:102" x14ac:dyDescent="0.55000000000000004">
      <c r="A5" s="3556"/>
      <c r="B5" s="92" t="s">
        <v>119</v>
      </c>
      <c r="C5" s="93" t="s">
        <v>62</v>
      </c>
      <c r="D5" s="84" t="s">
        <v>62</v>
      </c>
      <c r="E5" s="84" t="s">
        <v>62</v>
      </c>
      <c r="F5" s="84" t="s">
        <v>62</v>
      </c>
      <c r="G5" s="84" t="s">
        <v>62</v>
      </c>
      <c r="H5" s="93" t="s">
        <v>120</v>
      </c>
      <c r="I5" s="177" t="s">
        <v>121</v>
      </c>
      <c r="J5" s="95" t="s">
        <v>119</v>
      </c>
      <c r="K5" s="93" t="s">
        <v>120</v>
      </c>
      <c r="L5" s="93" t="s">
        <v>121</v>
      </c>
      <c r="M5" s="93" t="s">
        <v>62</v>
      </c>
      <c r="N5" s="94" t="s">
        <v>16</v>
      </c>
      <c r="O5" s="93" t="s">
        <v>62</v>
      </c>
      <c r="P5" s="84" t="s">
        <v>62</v>
      </c>
      <c r="Q5" s="84" t="s">
        <v>62</v>
      </c>
      <c r="R5" s="84" t="s">
        <v>62</v>
      </c>
      <c r="S5" s="3551"/>
      <c r="T5" s="95" t="s">
        <v>119</v>
      </c>
      <c r="U5" s="93" t="s">
        <v>120</v>
      </c>
      <c r="V5" s="177" t="s">
        <v>121</v>
      </c>
      <c r="W5" s="93" t="s">
        <v>62</v>
      </c>
      <c r="X5" s="96" t="s">
        <v>16</v>
      </c>
      <c r="Y5" s="93" t="s">
        <v>62</v>
      </c>
      <c r="Z5" s="84" t="s">
        <v>62</v>
      </c>
      <c r="AA5" s="84" t="s">
        <v>62</v>
      </c>
      <c r="AB5" s="84" t="s">
        <v>62</v>
      </c>
      <c r="AC5" s="3551"/>
      <c r="AD5" s="95" t="s">
        <v>119</v>
      </c>
      <c r="AE5" s="93" t="s">
        <v>120</v>
      </c>
      <c r="AF5" s="177" t="s">
        <v>121</v>
      </c>
      <c r="AG5" s="84" t="s">
        <v>62</v>
      </c>
      <c r="AH5" s="96" t="s">
        <v>16</v>
      </c>
      <c r="AI5" s="93" t="s">
        <v>62</v>
      </c>
      <c r="AJ5" s="84" t="s">
        <v>62</v>
      </c>
      <c r="AK5" s="97" t="s">
        <v>62</v>
      </c>
      <c r="AL5" s="97" t="s">
        <v>62</v>
      </c>
      <c r="AM5" s="3551"/>
      <c r="AN5" s="95" t="s">
        <v>119</v>
      </c>
      <c r="AO5" s="93" t="s">
        <v>120</v>
      </c>
      <c r="AP5" s="177" t="s">
        <v>121</v>
      </c>
      <c r="AQ5" s="93" t="s">
        <v>62</v>
      </c>
      <c r="AR5" s="96" t="s">
        <v>16</v>
      </c>
      <c r="AS5" s="98" t="s">
        <v>62</v>
      </c>
      <c r="AT5" s="97" t="s">
        <v>62</v>
      </c>
      <c r="AU5" s="97" t="s">
        <v>62</v>
      </c>
      <c r="AV5" s="97" t="s">
        <v>62</v>
      </c>
      <c r="AW5" s="3551"/>
      <c r="AX5" s="95" t="s">
        <v>119</v>
      </c>
      <c r="AY5" s="93" t="s">
        <v>120</v>
      </c>
      <c r="AZ5" s="177" t="s">
        <v>121</v>
      </c>
      <c r="BA5" s="93" t="s">
        <v>62</v>
      </c>
      <c r="BB5" s="94" t="s">
        <v>16</v>
      </c>
      <c r="BC5" s="98" t="s">
        <v>62</v>
      </c>
      <c r="BD5" s="97" t="s">
        <v>62</v>
      </c>
      <c r="BE5" s="97" t="s">
        <v>62</v>
      </c>
      <c r="BF5" s="97" t="s">
        <v>62</v>
      </c>
      <c r="BG5" s="3551"/>
      <c r="BH5" s="95" t="s">
        <v>119</v>
      </c>
      <c r="BI5" s="93" t="s">
        <v>120</v>
      </c>
      <c r="BJ5" s="177" t="s">
        <v>121</v>
      </c>
      <c r="BK5" s="93" t="s">
        <v>62</v>
      </c>
      <c r="BL5" s="96" t="s">
        <v>16</v>
      </c>
      <c r="BM5" s="98" t="s">
        <v>62</v>
      </c>
      <c r="BN5" s="97" t="s">
        <v>62</v>
      </c>
      <c r="BO5" s="97" t="s">
        <v>62</v>
      </c>
      <c r="BP5" s="97" t="s">
        <v>62</v>
      </c>
      <c r="BQ5" s="3549"/>
      <c r="BR5" s="95" t="s">
        <v>119</v>
      </c>
      <c r="BS5" s="93" t="s">
        <v>120</v>
      </c>
      <c r="BT5" s="177" t="s">
        <v>121</v>
      </c>
      <c r="BU5" s="93" t="s">
        <v>62</v>
      </c>
      <c r="BV5" s="94" t="s">
        <v>16</v>
      </c>
      <c r="BW5" s="98" t="s">
        <v>62</v>
      </c>
      <c r="BX5" s="97" t="s">
        <v>62</v>
      </c>
      <c r="BY5" s="97" t="s">
        <v>62</v>
      </c>
      <c r="BZ5" s="97" t="s">
        <v>62</v>
      </c>
      <c r="CA5" s="3549"/>
      <c r="CB5" s="95" t="s">
        <v>119</v>
      </c>
      <c r="CC5" s="93" t="s">
        <v>120</v>
      </c>
      <c r="CD5" s="177" t="s">
        <v>121</v>
      </c>
      <c r="CE5" s="84" t="s">
        <v>62</v>
      </c>
      <c r="CF5" s="96" t="s">
        <v>16</v>
      </c>
      <c r="CG5" s="98" t="s">
        <v>62</v>
      </c>
      <c r="CH5" s="97" t="s">
        <v>62</v>
      </c>
      <c r="CI5" s="97" t="s">
        <v>62</v>
      </c>
      <c r="CJ5" s="97" t="s">
        <v>62</v>
      </c>
      <c r="CK5" s="3549"/>
      <c r="CL5" s="99" t="s">
        <v>62</v>
      </c>
      <c r="CM5" s="100" t="s">
        <v>62</v>
      </c>
      <c r="CN5" s="101" t="s">
        <v>62</v>
      </c>
      <c r="CO5" s="100" t="s">
        <v>62</v>
      </c>
      <c r="CP5" s="102" t="s">
        <v>62</v>
      </c>
      <c r="CQ5" s="95" t="s">
        <v>66</v>
      </c>
      <c r="CR5" s="103" t="s">
        <v>62</v>
      </c>
      <c r="CS5" s="104" t="s">
        <v>16</v>
      </c>
      <c r="CT5" s="84" t="s">
        <v>66</v>
      </c>
      <c r="CU5" s="84" t="s">
        <v>62</v>
      </c>
      <c r="CV5" s="96" t="s">
        <v>16</v>
      </c>
    </row>
    <row r="6" spans="1:102" ht="24.75" thickBot="1" x14ac:dyDescent="0.6">
      <c r="A6" s="105" t="s">
        <v>28</v>
      </c>
      <c r="B6" s="186">
        <f>SUM(B7,B12,B21)</f>
        <v>1309743.7799999998</v>
      </c>
      <c r="C6" s="106">
        <v>839362.78</v>
      </c>
      <c r="D6" s="105">
        <v>8039</v>
      </c>
      <c r="E6" s="105">
        <v>404942</v>
      </c>
      <c r="F6" s="105">
        <v>57400</v>
      </c>
      <c r="G6" s="105">
        <v>0</v>
      </c>
      <c r="H6" s="106"/>
      <c r="I6" s="178"/>
      <c r="J6" s="190">
        <f>SUM(J7,J12,J21)</f>
        <v>818031.2300000001</v>
      </c>
      <c r="K6" s="106"/>
      <c r="L6" s="106"/>
      <c r="M6" s="106">
        <v>464960.24000000011</v>
      </c>
      <c r="N6" s="107">
        <v>666811.75999999989</v>
      </c>
      <c r="O6" s="106">
        <v>107756</v>
      </c>
      <c r="P6" s="105">
        <v>180350.88999999998</v>
      </c>
      <c r="Q6" s="105">
        <v>64964.1</v>
      </c>
      <c r="R6" s="105">
        <v>0</v>
      </c>
      <c r="S6" s="107">
        <v>313740.7699999999</v>
      </c>
      <c r="T6" s="199">
        <f>SUM(T7,T12,T21)</f>
        <v>498194.2</v>
      </c>
      <c r="U6" s="200"/>
      <c r="V6" s="201"/>
      <c r="W6" s="200">
        <v>354189</v>
      </c>
      <c r="X6" s="202">
        <v>275925.2</v>
      </c>
      <c r="Y6" s="200">
        <v>29405.200000000001</v>
      </c>
      <c r="Z6" s="203">
        <v>114600</v>
      </c>
      <c r="AA6" s="203">
        <v>0</v>
      </c>
      <c r="AB6" s="203">
        <v>0</v>
      </c>
      <c r="AC6" s="204">
        <v>131920</v>
      </c>
      <c r="AD6" s="200">
        <f>SUM(AD7,AD12,AD21)</f>
        <v>492412.1</v>
      </c>
      <c r="AE6" s="200"/>
      <c r="AF6" s="200"/>
      <c r="AG6" s="203">
        <v>235593</v>
      </c>
      <c r="AH6" s="202">
        <v>555003</v>
      </c>
      <c r="AI6" s="200">
        <v>244921.1</v>
      </c>
      <c r="AJ6" s="203">
        <v>0</v>
      </c>
      <c r="AK6" s="203">
        <v>0</v>
      </c>
      <c r="AL6" s="203">
        <v>11898</v>
      </c>
      <c r="AM6" s="202">
        <v>298183.90000000002</v>
      </c>
      <c r="AN6" s="199">
        <f>SUM(AN7,AN12,AN21)</f>
        <v>891096.6</v>
      </c>
      <c r="AO6" s="106"/>
      <c r="AP6" s="178"/>
      <c r="AQ6" s="106">
        <v>629182</v>
      </c>
      <c r="AR6" s="107">
        <v>795080.1</v>
      </c>
      <c r="AS6" s="106">
        <v>241584.6</v>
      </c>
      <c r="AT6" s="105">
        <v>0</v>
      </c>
      <c r="AU6" s="105">
        <v>20330</v>
      </c>
      <c r="AV6" s="105">
        <v>0</v>
      </c>
      <c r="AW6" s="107">
        <v>533165.5</v>
      </c>
      <c r="AX6" s="190">
        <f>SUM(AX7,AX12,AX21)</f>
        <v>848867.6</v>
      </c>
      <c r="AY6" s="106"/>
      <c r="AZ6" s="178"/>
      <c r="BA6" s="106">
        <v>722719.95</v>
      </c>
      <c r="BB6" s="107">
        <v>183002.95</v>
      </c>
      <c r="BC6" s="106">
        <v>126147.65000000001</v>
      </c>
      <c r="BD6" s="105">
        <v>0</v>
      </c>
      <c r="BE6" s="105">
        <v>0</v>
      </c>
      <c r="BF6" s="105">
        <v>0</v>
      </c>
      <c r="BG6" s="107">
        <v>56855.3</v>
      </c>
      <c r="BH6" s="190">
        <f>SUM(BH7,BH12,BH21)</f>
        <v>1250229.05</v>
      </c>
      <c r="BI6" s="106"/>
      <c r="BJ6" s="178"/>
      <c r="BK6" s="106">
        <v>1020544.05</v>
      </c>
      <c r="BL6" s="107">
        <v>804705.2</v>
      </c>
      <c r="BM6" s="106">
        <v>176605</v>
      </c>
      <c r="BN6" s="105">
        <v>8430</v>
      </c>
      <c r="BO6" s="105">
        <v>44650</v>
      </c>
      <c r="BP6" s="105">
        <v>0</v>
      </c>
      <c r="BQ6" s="107">
        <v>575020.19999999995</v>
      </c>
      <c r="BR6" s="190">
        <f>SUM(BR7,BR12,BR21)</f>
        <v>2149840.35</v>
      </c>
      <c r="BS6" s="106"/>
      <c r="BT6" s="178"/>
      <c r="BU6" s="106">
        <v>1776319.85</v>
      </c>
      <c r="BV6" s="107">
        <v>704696.14999999991</v>
      </c>
      <c r="BW6" s="106">
        <v>244505.5</v>
      </c>
      <c r="BX6" s="105">
        <v>0</v>
      </c>
      <c r="BY6" s="105">
        <v>127520</v>
      </c>
      <c r="BZ6" s="105">
        <v>1495</v>
      </c>
      <c r="CA6" s="108">
        <v>331175.64999999997</v>
      </c>
      <c r="CB6" s="190">
        <f>SUM(CB7,CB12,CB21)</f>
        <v>1266315.1599999999</v>
      </c>
      <c r="CC6" s="106"/>
      <c r="CD6" s="106"/>
      <c r="CE6" s="105">
        <v>910448.86</v>
      </c>
      <c r="CF6" s="107">
        <v>386715.29</v>
      </c>
      <c r="CG6" s="106">
        <v>349458.3</v>
      </c>
      <c r="CH6" s="105">
        <v>0</v>
      </c>
      <c r="CI6" s="105">
        <v>0</v>
      </c>
      <c r="CJ6" s="105">
        <v>6408</v>
      </c>
      <c r="CK6" s="107">
        <v>30848.990000000013</v>
      </c>
      <c r="CL6" s="109">
        <v>0</v>
      </c>
      <c r="CM6" s="109">
        <v>1607504.2300000002</v>
      </c>
      <c r="CN6" s="110">
        <v>713367.89</v>
      </c>
      <c r="CO6" s="111">
        <v>349774.1</v>
      </c>
      <c r="CP6" s="106">
        <v>52778.81</v>
      </c>
      <c r="CQ6" s="112">
        <v>14746551.109999999</v>
      </c>
      <c r="CR6" s="113">
        <v>8689305.9299999997</v>
      </c>
      <c r="CS6" s="114">
        <v>6057245.1799999997</v>
      </c>
      <c r="CT6" s="113">
        <v>14746551.109999999</v>
      </c>
      <c r="CU6" s="113">
        <v>11010178.050000001</v>
      </c>
      <c r="CV6" s="115">
        <v>3736373.0599999991</v>
      </c>
      <c r="CW6" s="79">
        <v>12643427.820000002</v>
      </c>
      <c r="CX6" s="82">
        <v>-8907054.7600000035</v>
      </c>
    </row>
    <row r="7" spans="1:102" ht="24.75" thickTop="1" x14ac:dyDescent="0.55000000000000004">
      <c r="A7" s="116" t="s">
        <v>7</v>
      </c>
      <c r="B7" s="125">
        <f>SUM(B8:B10)</f>
        <v>23000</v>
      </c>
      <c r="C7" s="118">
        <v>23000</v>
      </c>
      <c r="D7" s="117">
        <v>0</v>
      </c>
      <c r="E7" s="116">
        <v>0</v>
      </c>
      <c r="F7" s="116">
        <v>0</v>
      </c>
      <c r="G7" s="116">
        <v>0</v>
      </c>
      <c r="H7" s="118"/>
      <c r="I7" s="179"/>
      <c r="J7" s="117">
        <f>SUM(J8:J10)</f>
        <v>61240</v>
      </c>
      <c r="K7" s="118"/>
      <c r="L7" s="118"/>
      <c r="M7" s="118">
        <v>61240</v>
      </c>
      <c r="N7" s="119">
        <v>39000</v>
      </c>
      <c r="O7" s="118">
        <v>0</v>
      </c>
      <c r="P7" s="116">
        <v>0</v>
      </c>
      <c r="Q7" s="116">
        <v>0</v>
      </c>
      <c r="R7" s="116">
        <v>0</v>
      </c>
      <c r="S7" s="119">
        <v>39000</v>
      </c>
      <c r="T7" s="117">
        <f>SUM(T8:T10)</f>
        <v>62190</v>
      </c>
      <c r="U7" s="118"/>
      <c r="V7" s="179"/>
      <c r="W7" s="118">
        <v>62190</v>
      </c>
      <c r="X7" s="120">
        <v>0</v>
      </c>
      <c r="Y7" s="118">
        <v>0</v>
      </c>
      <c r="Z7" s="116">
        <v>0</v>
      </c>
      <c r="AA7" s="116">
        <v>0</v>
      </c>
      <c r="AB7" s="116">
        <v>0</v>
      </c>
      <c r="AC7" s="119">
        <v>0</v>
      </c>
      <c r="AD7" s="118">
        <f>SUM(AD8:AD10)</f>
        <v>9470</v>
      </c>
      <c r="AE7" s="118"/>
      <c r="AF7" s="118"/>
      <c r="AG7" s="116">
        <v>9470</v>
      </c>
      <c r="AH7" s="120">
        <v>10000</v>
      </c>
      <c r="AI7" s="118">
        <v>0</v>
      </c>
      <c r="AJ7" s="116">
        <v>0</v>
      </c>
      <c r="AK7" s="116">
        <v>0</v>
      </c>
      <c r="AL7" s="116">
        <v>0</v>
      </c>
      <c r="AM7" s="119">
        <v>10000</v>
      </c>
      <c r="AN7" s="117">
        <f>SUM(AN8:AN10)</f>
        <v>36140</v>
      </c>
      <c r="AO7" s="118"/>
      <c r="AP7" s="179"/>
      <c r="AQ7" s="118">
        <v>36140</v>
      </c>
      <c r="AR7" s="119">
        <v>50000</v>
      </c>
      <c r="AS7" s="118">
        <v>0</v>
      </c>
      <c r="AT7" s="116">
        <v>0</v>
      </c>
      <c r="AU7" s="116">
        <v>0</v>
      </c>
      <c r="AV7" s="116">
        <v>0</v>
      </c>
      <c r="AW7" s="119">
        <v>50000</v>
      </c>
      <c r="AX7" s="117">
        <f>SUM(AX8:AX10)</f>
        <v>105630</v>
      </c>
      <c r="AY7" s="118"/>
      <c r="AZ7" s="179"/>
      <c r="BA7" s="118">
        <v>105630</v>
      </c>
      <c r="BB7" s="119">
        <v>-1930</v>
      </c>
      <c r="BC7" s="118">
        <v>0</v>
      </c>
      <c r="BD7" s="116">
        <v>0</v>
      </c>
      <c r="BE7" s="116">
        <v>0</v>
      </c>
      <c r="BF7" s="116">
        <v>0</v>
      </c>
      <c r="BG7" s="119">
        <v>-1930</v>
      </c>
      <c r="BH7" s="117">
        <f>SUM(BH8:BH10)</f>
        <v>120020</v>
      </c>
      <c r="BI7" s="118"/>
      <c r="BJ7" s="179"/>
      <c r="BK7" s="118">
        <v>120020</v>
      </c>
      <c r="BL7" s="119">
        <v>64480</v>
      </c>
      <c r="BM7" s="118">
        <v>0</v>
      </c>
      <c r="BN7" s="116">
        <v>0</v>
      </c>
      <c r="BO7" s="116">
        <v>0</v>
      </c>
      <c r="BP7" s="116">
        <v>0</v>
      </c>
      <c r="BQ7" s="119">
        <v>64480</v>
      </c>
      <c r="BR7" s="117">
        <f>SUM(BR8:BR10)</f>
        <v>247410</v>
      </c>
      <c r="BS7" s="118"/>
      <c r="BT7" s="179"/>
      <c r="BU7" s="118">
        <v>183960</v>
      </c>
      <c r="BV7" s="119">
        <v>75000</v>
      </c>
      <c r="BW7" s="118">
        <v>0</v>
      </c>
      <c r="BX7" s="116">
        <v>0</v>
      </c>
      <c r="BY7" s="116">
        <v>63450</v>
      </c>
      <c r="BZ7" s="116">
        <v>0</v>
      </c>
      <c r="CA7" s="119">
        <v>11550</v>
      </c>
      <c r="CB7" s="117">
        <f>SUM(CB8:CB10)</f>
        <v>25780</v>
      </c>
      <c r="CC7" s="118"/>
      <c r="CD7" s="118"/>
      <c r="CE7" s="116">
        <v>25780</v>
      </c>
      <c r="CF7" s="121">
        <v>30000</v>
      </c>
      <c r="CG7" s="118">
        <v>0</v>
      </c>
      <c r="CH7" s="116">
        <v>0</v>
      </c>
      <c r="CI7" s="116">
        <v>0</v>
      </c>
      <c r="CJ7" s="116">
        <v>0</v>
      </c>
      <c r="CK7" s="119">
        <v>30000</v>
      </c>
      <c r="CL7" s="122">
        <v>0</v>
      </c>
      <c r="CM7" s="123">
        <v>0</v>
      </c>
      <c r="CN7" s="124">
        <v>0</v>
      </c>
      <c r="CO7" s="125">
        <v>63450</v>
      </c>
      <c r="CP7" s="118">
        <v>17200</v>
      </c>
      <c r="CQ7" s="126">
        <v>1046130</v>
      </c>
      <c r="CR7" s="127">
        <v>843680</v>
      </c>
      <c r="CS7" s="127">
        <v>202450</v>
      </c>
      <c r="CT7" s="128">
        <v>1046130</v>
      </c>
      <c r="CU7" s="128">
        <v>843680</v>
      </c>
      <c r="CV7" s="129">
        <v>202450</v>
      </c>
    </row>
    <row r="8" spans="1:102" x14ac:dyDescent="0.55000000000000004">
      <c r="A8" s="130" t="s">
        <v>8</v>
      </c>
      <c r="B8" s="139">
        <f>C8+D8+E8+F8+G8</f>
        <v>23000</v>
      </c>
      <c r="C8" s="134">
        <v>23000</v>
      </c>
      <c r="D8" s="132">
        <v>0</v>
      </c>
      <c r="E8" s="132">
        <v>0</v>
      </c>
      <c r="F8" s="132">
        <v>0</v>
      </c>
      <c r="G8" s="132">
        <v>0</v>
      </c>
      <c r="H8" s="133"/>
      <c r="I8" s="180"/>
      <c r="J8" s="131">
        <f>M8+O8+P8+Q8+R8</f>
        <v>61240</v>
      </c>
      <c r="K8" s="134"/>
      <c r="L8" s="134"/>
      <c r="M8" s="134">
        <v>61240</v>
      </c>
      <c r="N8" s="135">
        <v>39000</v>
      </c>
      <c r="O8" s="133">
        <v>0</v>
      </c>
      <c r="P8" s="132">
        <v>0</v>
      </c>
      <c r="Q8" s="132">
        <v>0</v>
      </c>
      <c r="R8" s="132">
        <v>0</v>
      </c>
      <c r="S8" s="136">
        <v>39000</v>
      </c>
      <c r="T8" s="131">
        <f>W8+Y8+Z8+AA8+AB8</f>
        <v>62190</v>
      </c>
      <c r="U8" s="134"/>
      <c r="V8" s="194"/>
      <c r="W8" s="134">
        <v>62190</v>
      </c>
      <c r="X8" s="137">
        <v>0</v>
      </c>
      <c r="Y8" s="133">
        <v>0</v>
      </c>
      <c r="Z8" s="132">
        <v>0</v>
      </c>
      <c r="AA8" s="138">
        <v>0</v>
      </c>
      <c r="AB8" s="132">
        <v>0</v>
      </c>
      <c r="AC8" s="136">
        <v>0</v>
      </c>
      <c r="AD8" s="134">
        <f>AG8+AI8+AJ8+AK8+AL8</f>
        <v>9470</v>
      </c>
      <c r="AE8" s="134"/>
      <c r="AF8" s="134"/>
      <c r="AG8" s="130">
        <v>9470</v>
      </c>
      <c r="AH8" s="137">
        <v>10000</v>
      </c>
      <c r="AI8" s="133">
        <v>0</v>
      </c>
      <c r="AJ8" s="132">
        <v>0</v>
      </c>
      <c r="AK8" s="138">
        <v>0</v>
      </c>
      <c r="AL8" s="132">
        <v>0</v>
      </c>
      <c r="AM8" s="136">
        <v>10000</v>
      </c>
      <c r="AN8" s="131">
        <f>AQ8+AS8+AT8+AU8+AV8</f>
        <v>36140</v>
      </c>
      <c r="AO8" s="134"/>
      <c r="AP8" s="194"/>
      <c r="AQ8" s="134">
        <v>36140</v>
      </c>
      <c r="AR8" s="136">
        <v>50000</v>
      </c>
      <c r="AS8" s="133">
        <v>0</v>
      </c>
      <c r="AT8" s="132">
        <v>0</v>
      </c>
      <c r="AU8" s="138">
        <v>0</v>
      </c>
      <c r="AV8" s="132">
        <v>0</v>
      </c>
      <c r="AW8" s="136">
        <v>50000</v>
      </c>
      <c r="AX8" s="131">
        <f>BA8+BC8+BD8+BE8+BF8</f>
        <v>78630</v>
      </c>
      <c r="AY8" s="134"/>
      <c r="AZ8" s="194"/>
      <c r="BA8" s="134">
        <v>78630</v>
      </c>
      <c r="BB8" s="136">
        <v>-1930</v>
      </c>
      <c r="BC8" s="133">
        <v>0</v>
      </c>
      <c r="BD8" s="132">
        <v>0</v>
      </c>
      <c r="BE8" s="138">
        <v>0</v>
      </c>
      <c r="BF8" s="132">
        <v>0</v>
      </c>
      <c r="BG8" s="136">
        <v>-1930</v>
      </c>
      <c r="BH8" s="131">
        <f>BK8+BM8+BN8+BO8+BP8</f>
        <v>120020</v>
      </c>
      <c r="BI8" s="134"/>
      <c r="BJ8" s="194"/>
      <c r="BK8" s="134">
        <v>120020</v>
      </c>
      <c r="BL8" s="136">
        <v>64480</v>
      </c>
      <c r="BM8" s="133">
        <v>0</v>
      </c>
      <c r="BN8" s="132">
        <v>0</v>
      </c>
      <c r="BO8" s="138">
        <v>0</v>
      </c>
      <c r="BP8" s="132">
        <v>0</v>
      </c>
      <c r="BQ8" s="136">
        <v>64480</v>
      </c>
      <c r="BR8" s="131">
        <f>BU8+BW8+BX8+BY8+BZ8</f>
        <v>247410</v>
      </c>
      <c r="BS8" s="134"/>
      <c r="BT8" s="194"/>
      <c r="BU8" s="134">
        <v>183960</v>
      </c>
      <c r="BV8" s="136">
        <v>75000</v>
      </c>
      <c r="BW8" s="133">
        <v>0</v>
      </c>
      <c r="BX8" s="132">
        <v>0</v>
      </c>
      <c r="BY8" s="138">
        <v>63450</v>
      </c>
      <c r="BZ8" s="132">
        <v>0</v>
      </c>
      <c r="CA8" s="136">
        <v>11550</v>
      </c>
      <c r="CB8" s="131">
        <f>CE8+CG8+CH8+CI8+CJ8</f>
        <v>25780</v>
      </c>
      <c r="CC8" s="134"/>
      <c r="CD8" s="134"/>
      <c r="CE8" s="130">
        <v>25780</v>
      </c>
      <c r="CF8" s="121">
        <v>30000</v>
      </c>
      <c r="CG8" s="133">
        <v>0</v>
      </c>
      <c r="CH8" s="132">
        <v>0</v>
      </c>
      <c r="CI8" s="138">
        <v>0</v>
      </c>
      <c r="CJ8" s="132">
        <v>0</v>
      </c>
      <c r="CK8" s="136">
        <v>30000</v>
      </c>
      <c r="CL8" s="139">
        <v>0</v>
      </c>
      <c r="CM8" s="140">
        <v>0</v>
      </c>
      <c r="CN8" s="141">
        <v>0</v>
      </c>
      <c r="CO8" s="142">
        <v>63450</v>
      </c>
      <c r="CP8" s="133">
        <v>17200</v>
      </c>
      <c r="CQ8" s="131">
        <v>970130</v>
      </c>
      <c r="CR8" s="130">
        <v>652680</v>
      </c>
      <c r="CS8" s="143">
        <v>317450</v>
      </c>
      <c r="CT8" s="130">
        <v>970130</v>
      </c>
      <c r="CU8" s="130">
        <v>652680</v>
      </c>
      <c r="CV8" s="144">
        <v>317450</v>
      </c>
    </row>
    <row r="9" spans="1:102" x14ac:dyDescent="0.55000000000000004">
      <c r="A9" s="130" t="s">
        <v>61</v>
      </c>
      <c r="B9" s="140">
        <f>C9+D9+E9+F9+G9</f>
        <v>0</v>
      </c>
      <c r="C9" s="133">
        <v>0</v>
      </c>
      <c r="D9" s="132">
        <v>0</v>
      </c>
      <c r="E9" s="132">
        <v>0</v>
      </c>
      <c r="F9" s="132">
        <v>0</v>
      </c>
      <c r="G9" s="132">
        <v>0</v>
      </c>
      <c r="H9" s="133"/>
      <c r="I9" s="180"/>
      <c r="J9" s="131">
        <f>M9+O9+P9+Q9+R9</f>
        <v>0</v>
      </c>
      <c r="K9" s="133"/>
      <c r="L9" s="133"/>
      <c r="M9" s="133">
        <v>0</v>
      </c>
      <c r="N9" s="137">
        <v>0</v>
      </c>
      <c r="O9" s="133">
        <v>0</v>
      </c>
      <c r="P9" s="132">
        <v>0</v>
      </c>
      <c r="Q9" s="132">
        <v>0</v>
      </c>
      <c r="R9" s="132">
        <v>0</v>
      </c>
      <c r="S9" s="136">
        <v>0</v>
      </c>
      <c r="T9" s="145">
        <f>W9+Y9+Z9+AA9+AB9</f>
        <v>0</v>
      </c>
      <c r="U9" s="133"/>
      <c r="V9" s="180"/>
      <c r="W9" s="133">
        <v>0</v>
      </c>
      <c r="X9" s="137">
        <v>0</v>
      </c>
      <c r="Y9" s="133">
        <v>0</v>
      </c>
      <c r="Z9" s="132">
        <v>0</v>
      </c>
      <c r="AA9" s="138">
        <v>0</v>
      </c>
      <c r="AB9" s="132">
        <v>0</v>
      </c>
      <c r="AC9" s="136">
        <v>0</v>
      </c>
      <c r="AD9" s="133">
        <f>AG9+AI9+AJ9+AK9+AL9</f>
        <v>0</v>
      </c>
      <c r="AE9" s="133"/>
      <c r="AF9" s="133"/>
      <c r="AG9" s="132">
        <v>0</v>
      </c>
      <c r="AH9" s="137">
        <v>0</v>
      </c>
      <c r="AI9" s="133">
        <v>0</v>
      </c>
      <c r="AJ9" s="132">
        <v>0</v>
      </c>
      <c r="AK9" s="138">
        <v>0</v>
      </c>
      <c r="AL9" s="132">
        <v>0</v>
      </c>
      <c r="AM9" s="136">
        <v>0</v>
      </c>
      <c r="AN9" s="145">
        <f>AQ9+AS9+AT9+AU9+AV9</f>
        <v>0</v>
      </c>
      <c r="AO9" s="133"/>
      <c r="AP9" s="180"/>
      <c r="AQ9" s="133">
        <v>0</v>
      </c>
      <c r="AR9" s="137">
        <v>0</v>
      </c>
      <c r="AS9" s="133">
        <v>0</v>
      </c>
      <c r="AT9" s="132">
        <v>0</v>
      </c>
      <c r="AU9" s="138">
        <v>0</v>
      </c>
      <c r="AV9" s="132">
        <v>0</v>
      </c>
      <c r="AW9" s="136">
        <v>0</v>
      </c>
      <c r="AX9" s="145">
        <f>BA9+BC9+BD9+BE9+BF9</f>
        <v>0</v>
      </c>
      <c r="AY9" s="133"/>
      <c r="AZ9" s="180"/>
      <c r="BA9" s="133">
        <v>0</v>
      </c>
      <c r="BB9" s="137">
        <v>0</v>
      </c>
      <c r="BC9" s="133">
        <v>0</v>
      </c>
      <c r="BD9" s="132">
        <v>0</v>
      </c>
      <c r="BE9" s="138">
        <v>0</v>
      </c>
      <c r="BF9" s="132">
        <v>0</v>
      </c>
      <c r="BG9" s="136">
        <v>0</v>
      </c>
      <c r="BH9" s="145">
        <f>BK9+BM9+BN9+BO9+BP9</f>
        <v>0</v>
      </c>
      <c r="BI9" s="133"/>
      <c r="BJ9" s="180"/>
      <c r="BK9" s="133">
        <v>0</v>
      </c>
      <c r="BL9" s="137">
        <v>0</v>
      </c>
      <c r="BM9" s="133">
        <v>0</v>
      </c>
      <c r="BN9" s="132">
        <v>0</v>
      </c>
      <c r="BO9" s="138">
        <v>0</v>
      </c>
      <c r="BP9" s="132">
        <v>0</v>
      </c>
      <c r="BQ9" s="136">
        <v>0</v>
      </c>
      <c r="BR9" s="145">
        <f>BU9+BW9+BX9+BY9+BZ9</f>
        <v>0</v>
      </c>
      <c r="BS9" s="133"/>
      <c r="BT9" s="180"/>
      <c r="BU9" s="133">
        <v>0</v>
      </c>
      <c r="BV9" s="137">
        <v>0</v>
      </c>
      <c r="BW9" s="133">
        <v>0</v>
      </c>
      <c r="BX9" s="132">
        <v>0</v>
      </c>
      <c r="BY9" s="138">
        <v>0</v>
      </c>
      <c r="BZ9" s="132">
        <v>0</v>
      </c>
      <c r="CA9" s="136">
        <v>0</v>
      </c>
      <c r="CB9" s="145">
        <f>CE9+CG9+CH9+CI9+CJ9</f>
        <v>0</v>
      </c>
      <c r="CC9" s="133"/>
      <c r="CD9" s="133"/>
      <c r="CE9" s="132">
        <v>0</v>
      </c>
      <c r="CF9" s="137">
        <v>0</v>
      </c>
      <c r="CG9" s="133">
        <v>0</v>
      </c>
      <c r="CH9" s="132">
        <v>0</v>
      </c>
      <c r="CI9" s="138">
        <v>0</v>
      </c>
      <c r="CJ9" s="132">
        <v>0</v>
      </c>
      <c r="CK9" s="136">
        <v>0</v>
      </c>
      <c r="CL9" s="146">
        <v>0</v>
      </c>
      <c r="CM9" s="140">
        <v>0</v>
      </c>
      <c r="CN9" s="141">
        <v>0</v>
      </c>
      <c r="CO9" s="142">
        <v>0</v>
      </c>
      <c r="CP9" s="140">
        <v>0</v>
      </c>
      <c r="CQ9" s="133">
        <v>0</v>
      </c>
      <c r="CR9" s="132">
        <v>0</v>
      </c>
      <c r="CS9" s="121">
        <v>0</v>
      </c>
      <c r="CT9" s="132">
        <v>0</v>
      </c>
      <c r="CU9" s="132">
        <v>0</v>
      </c>
      <c r="CV9" s="137">
        <v>0</v>
      </c>
    </row>
    <row r="10" spans="1:102" x14ac:dyDescent="0.55000000000000004">
      <c r="A10" s="130" t="s">
        <v>82</v>
      </c>
      <c r="B10" s="140">
        <f>C10+D10+E10+F10+G10</f>
        <v>0</v>
      </c>
      <c r="C10" s="133">
        <v>0</v>
      </c>
      <c r="D10" s="132">
        <v>0</v>
      </c>
      <c r="E10" s="132">
        <v>0</v>
      </c>
      <c r="F10" s="132">
        <v>0</v>
      </c>
      <c r="G10" s="132">
        <v>0</v>
      </c>
      <c r="H10" s="133"/>
      <c r="I10" s="180"/>
      <c r="J10" s="131">
        <f>M10+O10+P10+Q10+R10</f>
        <v>0</v>
      </c>
      <c r="K10" s="133"/>
      <c r="L10" s="133"/>
      <c r="M10" s="133">
        <v>0</v>
      </c>
      <c r="N10" s="137">
        <v>0</v>
      </c>
      <c r="O10" s="133">
        <v>0</v>
      </c>
      <c r="P10" s="132">
        <v>0</v>
      </c>
      <c r="Q10" s="132">
        <v>0</v>
      </c>
      <c r="R10" s="132">
        <v>0</v>
      </c>
      <c r="S10" s="136">
        <v>0</v>
      </c>
      <c r="T10" s="145">
        <f>W10+Y10+Z10+AA10+AB10</f>
        <v>0</v>
      </c>
      <c r="U10" s="133"/>
      <c r="V10" s="180"/>
      <c r="W10" s="133">
        <v>0</v>
      </c>
      <c r="X10" s="137">
        <v>0</v>
      </c>
      <c r="Y10" s="133">
        <v>0</v>
      </c>
      <c r="Z10" s="132">
        <v>0</v>
      </c>
      <c r="AA10" s="138">
        <v>0</v>
      </c>
      <c r="AB10" s="132">
        <v>0</v>
      </c>
      <c r="AC10" s="136">
        <v>0</v>
      </c>
      <c r="AD10" s="133">
        <f>AG10+AI10+AJ10+AK10+AL10</f>
        <v>0</v>
      </c>
      <c r="AE10" s="133"/>
      <c r="AF10" s="133"/>
      <c r="AG10" s="132">
        <v>0</v>
      </c>
      <c r="AH10" s="137">
        <v>0</v>
      </c>
      <c r="AI10" s="133">
        <v>0</v>
      </c>
      <c r="AJ10" s="132">
        <v>0</v>
      </c>
      <c r="AK10" s="138">
        <v>0</v>
      </c>
      <c r="AL10" s="132">
        <v>0</v>
      </c>
      <c r="AM10" s="136">
        <v>0</v>
      </c>
      <c r="AN10" s="131">
        <f>AQ10+AS10+AT10+AU10+AV10</f>
        <v>0</v>
      </c>
      <c r="AO10" s="134"/>
      <c r="AP10" s="194"/>
      <c r="AQ10" s="134">
        <v>0</v>
      </c>
      <c r="AR10" s="137">
        <v>0</v>
      </c>
      <c r="AS10" s="133">
        <v>0</v>
      </c>
      <c r="AT10" s="132">
        <v>0</v>
      </c>
      <c r="AU10" s="138">
        <v>0</v>
      </c>
      <c r="AV10" s="132">
        <v>0</v>
      </c>
      <c r="AW10" s="136">
        <v>0</v>
      </c>
      <c r="AX10" s="145">
        <f>BA10+BC10+BD10+BE10+BF10</f>
        <v>27000</v>
      </c>
      <c r="AY10" s="133"/>
      <c r="AZ10" s="180"/>
      <c r="BA10" s="133">
        <v>27000</v>
      </c>
      <c r="BB10" s="137">
        <v>0</v>
      </c>
      <c r="BC10" s="133">
        <v>0</v>
      </c>
      <c r="BD10" s="132">
        <v>0</v>
      </c>
      <c r="BE10" s="138">
        <v>0</v>
      </c>
      <c r="BF10" s="132">
        <v>0</v>
      </c>
      <c r="BG10" s="136">
        <v>0</v>
      </c>
      <c r="BH10" s="145">
        <f>BK10+BM10+BN10+BO10+BP10</f>
        <v>0</v>
      </c>
      <c r="BI10" s="133"/>
      <c r="BJ10" s="180"/>
      <c r="BK10" s="133">
        <v>0</v>
      </c>
      <c r="BL10" s="137">
        <v>0</v>
      </c>
      <c r="BM10" s="133">
        <v>0</v>
      </c>
      <c r="BN10" s="132">
        <v>0</v>
      </c>
      <c r="BO10" s="138">
        <v>0</v>
      </c>
      <c r="BP10" s="132">
        <v>0</v>
      </c>
      <c r="BQ10" s="136">
        <v>0</v>
      </c>
      <c r="BR10" s="145">
        <f>BU10+BW10+BX10+BY10+BZ10</f>
        <v>0</v>
      </c>
      <c r="BS10" s="133"/>
      <c r="BT10" s="180"/>
      <c r="BU10" s="133">
        <v>0</v>
      </c>
      <c r="BV10" s="137">
        <v>0</v>
      </c>
      <c r="BW10" s="133">
        <v>0</v>
      </c>
      <c r="BX10" s="132">
        <v>0</v>
      </c>
      <c r="BY10" s="138">
        <v>0</v>
      </c>
      <c r="BZ10" s="132">
        <v>0</v>
      </c>
      <c r="CA10" s="136">
        <v>0</v>
      </c>
      <c r="CB10" s="145">
        <f>CE10+CG10+CH10+CI10+CJ10</f>
        <v>0</v>
      </c>
      <c r="CC10" s="133"/>
      <c r="CD10" s="133"/>
      <c r="CE10" s="132">
        <v>0</v>
      </c>
      <c r="CF10" s="137">
        <v>0</v>
      </c>
      <c r="CG10" s="133">
        <v>0</v>
      </c>
      <c r="CH10" s="132">
        <v>0</v>
      </c>
      <c r="CI10" s="138">
        <v>0</v>
      </c>
      <c r="CJ10" s="132">
        <v>0</v>
      </c>
      <c r="CK10" s="136">
        <v>0</v>
      </c>
      <c r="CL10" s="146">
        <v>0</v>
      </c>
      <c r="CM10" s="140">
        <v>0</v>
      </c>
      <c r="CN10" s="141">
        <v>0</v>
      </c>
      <c r="CO10" s="142">
        <v>0</v>
      </c>
      <c r="CP10" s="140">
        <v>0</v>
      </c>
      <c r="CQ10" s="134">
        <v>76000</v>
      </c>
      <c r="CR10" s="130">
        <v>191000</v>
      </c>
      <c r="CS10" s="121">
        <v>-115000</v>
      </c>
      <c r="CT10" s="130">
        <v>76000</v>
      </c>
      <c r="CU10" s="130">
        <v>191000</v>
      </c>
      <c r="CV10" s="137">
        <v>-115000</v>
      </c>
    </row>
    <row r="11" spans="1:102" x14ac:dyDescent="0.55000000000000004">
      <c r="A11" s="130"/>
      <c r="B11" s="187"/>
      <c r="C11" s="185"/>
      <c r="D11" s="130"/>
      <c r="E11" s="147"/>
      <c r="F11" s="147"/>
      <c r="G11" s="147"/>
      <c r="H11" s="130"/>
      <c r="I11" s="181"/>
      <c r="J11" s="131">
        <f>M11+O11+P11+Q11+R11</f>
        <v>0</v>
      </c>
      <c r="K11" s="134"/>
      <c r="L11" s="134"/>
      <c r="M11" s="134"/>
      <c r="N11" s="136"/>
      <c r="O11" s="133"/>
      <c r="P11" s="147"/>
      <c r="Q11" s="147"/>
      <c r="R11" s="147"/>
      <c r="S11" s="136">
        <v>0</v>
      </c>
      <c r="T11" s="131">
        <f>W11+Y11+Z11+AA11+AB11</f>
        <v>0</v>
      </c>
      <c r="U11" s="134"/>
      <c r="V11" s="194"/>
      <c r="W11" s="134"/>
      <c r="X11" s="136"/>
      <c r="Y11" s="133"/>
      <c r="Z11" s="147"/>
      <c r="AA11" s="147"/>
      <c r="AB11" s="147"/>
      <c r="AC11" s="136">
        <v>0</v>
      </c>
      <c r="AD11" s="134">
        <f>AG11+AI11+AJ11+AK11+AL11</f>
        <v>0</v>
      </c>
      <c r="AE11" s="134"/>
      <c r="AF11" s="134"/>
      <c r="AG11" s="130"/>
      <c r="AH11" s="136"/>
      <c r="AI11" s="133"/>
      <c r="AJ11" s="147"/>
      <c r="AK11" s="147"/>
      <c r="AL11" s="147"/>
      <c r="AM11" s="136">
        <v>0</v>
      </c>
      <c r="AN11" s="131">
        <f>AQ11+AS11+AT11+AU11+AV11</f>
        <v>0</v>
      </c>
      <c r="AO11" s="134"/>
      <c r="AP11" s="194"/>
      <c r="AQ11" s="134"/>
      <c r="AR11" s="136"/>
      <c r="AS11" s="133"/>
      <c r="AT11" s="147"/>
      <c r="AU11" s="147"/>
      <c r="AV11" s="147"/>
      <c r="AW11" s="136">
        <v>0</v>
      </c>
      <c r="AX11" s="131">
        <f>BA11+BC11+BD11+BE11+BF11</f>
        <v>0</v>
      </c>
      <c r="AY11" s="134"/>
      <c r="AZ11" s="194"/>
      <c r="BA11" s="134"/>
      <c r="BB11" s="136"/>
      <c r="BC11" s="133"/>
      <c r="BD11" s="147"/>
      <c r="BE11" s="147"/>
      <c r="BF11" s="147"/>
      <c r="BG11" s="136">
        <v>0</v>
      </c>
      <c r="BH11" s="131">
        <f>BK11+BM11+BN11+BO11+BP11</f>
        <v>0</v>
      </c>
      <c r="BI11" s="134"/>
      <c r="BJ11" s="194"/>
      <c r="BK11" s="134"/>
      <c r="BL11" s="136"/>
      <c r="BM11" s="133"/>
      <c r="BN11" s="147"/>
      <c r="BO11" s="147"/>
      <c r="BP11" s="147"/>
      <c r="BQ11" s="136">
        <v>0</v>
      </c>
      <c r="BR11" s="131">
        <f>BU11+BW11+BX11+BY11+BZ11</f>
        <v>0</v>
      </c>
      <c r="BS11" s="134"/>
      <c r="BT11" s="194"/>
      <c r="BU11" s="134"/>
      <c r="BV11" s="136"/>
      <c r="BW11" s="133"/>
      <c r="BX11" s="147"/>
      <c r="BY11" s="147"/>
      <c r="BZ11" s="147"/>
      <c r="CA11" s="136">
        <v>0</v>
      </c>
      <c r="CB11" s="131">
        <f>CE11+CG11+CH11+CI11+CJ11</f>
        <v>0</v>
      </c>
      <c r="CC11" s="134"/>
      <c r="CD11" s="134"/>
      <c r="CE11" s="130"/>
      <c r="CF11" s="136"/>
      <c r="CG11" s="133"/>
      <c r="CH11" s="147"/>
      <c r="CI11" s="147"/>
      <c r="CJ11" s="147"/>
      <c r="CK11" s="136">
        <v>0</v>
      </c>
      <c r="CL11" s="139"/>
      <c r="CM11" s="139"/>
      <c r="CN11" s="148"/>
      <c r="CO11" s="139"/>
      <c r="CP11" s="149"/>
      <c r="CQ11" s="131"/>
      <c r="CR11" s="130"/>
      <c r="CS11" s="143"/>
      <c r="CT11" s="130"/>
      <c r="CU11" s="130"/>
      <c r="CV11" s="136"/>
    </row>
    <row r="12" spans="1:102" x14ac:dyDescent="0.55000000000000004">
      <c r="A12" s="150" t="s">
        <v>9</v>
      </c>
      <c r="B12" s="157">
        <f>SUM(B13:B20)</f>
        <v>1277904.7799999998</v>
      </c>
      <c r="C12" s="154">
        <v>815562.78</v>
      </c>
      <c r="D12" s="152">
        <v>0</v>
      </c>
      <c r="E12" s="150">
        <v>404942</v>
      </c>
      <c r="F12" s="150">
        <v>57400</v>
      </c>
      <c r="G12" s="153">
        <v>0</v>
      </c>
      <c r="H12" s="150"/>
      <c r="I12" s="155"/>
      <c r="J12" s="151">
        <f>SUM(J13:J20)</f>
        <v>649035.2300000001</v>
      </c>
      <c r="K12" s="154"/>
      <c r="L12" s="154"/>
      <c r="M12" s="154">
        <v>403720.24000000011</v>
      </c>
      <c r="N12" s="155">
        <v>475055.75999999989</v>
      </c>
      <c r="O12" s="153">
        <v>0</v>
      </c>
      <c r="P12" s="150">
        <v>180350.88999999998</v>
      </c>
      <c r="Q12" s="150">
        <v>64964.1</v>
      </c>
      <c r="R12" s="154">
        <v>0</v>
      </c>
      <c r="S12" s="156">
        <v>229740.7699999999</v>
      </c>
      <c r="T12" s="151">
        <f>SUM(T13:T20)</f>
        <v>397319</v>
      </c>
      <c r="U12" s="154"/>
      <c r="V12" s="156"/>
      <c r="W12" s="154">
        <v>282719</v>
      </c>
      <c r="X12" s="155">
        <v>246520</v>
      </c>
      <c r="Y12" s="153">
        <v>0</v>
      </c>
      <c r="Z12" s="150">
        <v>114600</v>
      </c>
      <c r="AA12" s="150">
        <v>0</v>
      </c>
      <c r="AB12" s="154">
        <v>0</v>
      </c>
      <c r="AC12" s="156">
        <v>131920</v>
      </c>
      <c r="AD12" s="154">
        <f>SUM(AD13:AD20)</f>
        <v>231491</v>
      </c>
      <c r="AE12" s="154"/>
      <c r="AF12" s="154"/>
      <c r="AG12" s="150">
        <v>219593</v>
      </c>
      <c r="AH12" s="155">
        <v>271760</v>
      </c>
      <c r="AI12" s="153">
        <v>0</v>
      </c>
      <c r="AJ12" s="150">
        <v>0</v>
      </c>
      <c r="AK12" s="150">
        <v>0</v>
      </c>
      <c r="AL12" s="154">
        <v>11898</v>
      </c>
      <c r="AM12" s="156">
        <v>259862</v>
      </c>
      <c r="AN12" s="151">
        <f>SUM(AN13:AN20)</f>
        <v>613372</v>
      </c>
      <c r="AO12" s="154"/>
      <c r="AP12" s="156"/>
      <c r="AQ12" s="154">
        <v>593042</v>
      </c>
      <c r="AR12" s="155">
        <v>453496</v>
      </c>
      <c r="AS12" s="153">
        <v>0</v>
      </c>
      <c r="AT12" s="150">
        <v>0</v>
      </c>
      <c r="AU12" s="150">
        <v>20330</v>
      </c>
      <c r="AV12" s="154">
        <v>0</v>
      </c>
      <c r="AW12" s="156">
        <v>433166</v>
      </c>
      <c r="AX12" s="151">
        <f>SUM(AX13:AX20)</f>
        <v>611194.25</v>
      </c>
      <c r="AY12" s="154"/>
      <c r="AZ12" s="156"/>
      <c r="BA12" s="154">
        <v>611194.25</v>
      </c>
      <c r="BB12" s="155">
        <v>58785</v>
      </c>
      <c r="BC12" s="153">
        <v>0</v>
      </c>
      <c r="BD12" s="150">
        <v>0</v>
      </c>
      <c r="BE12" s="150">
        <v>0</v>
      </c>
      <c r="BF12" s="154">
        <v>0</v>
      </c>
      <c r="BG12" s="156">
        <v>58785</v>
      </c>
      <c r="BH12" s="151">
        <f>SUM(BH13:BH20)</f>
        <v>953604.05</v>
      </c>
      <c r="BI12" s="154"/>
      <c r="BJ12" s="156"/>
      <c r="BK12" s="154">
        <v>900524.05</v>
      </c>
      <c r="BL12" s="155">
        <v>563620.19999999995</v>
      </c>
      <c r="BM12" s="153">
        <v>0</v>
      </c>
      <c r="BN12" s="150">
        <v>8430</v>
      </c>
      <c r="BO12" s="150">
        <v>44650</v>
      </c>
      <c r="BP12" s="154">
        <v>0</v>
      </c>
      <c r="BQ12" s="156">
        <v>510540.19999999995</v>
      </c>
      <c r="BR12" s="151">
        <f>SUM(BR13:BR20)</f>
        <v>1602533.8</v>
      </c>
      <c r="BS12" s="154"/>
      <c r="BT12" s="156"/>
      <c r="BU12" s="154">
        <v>1536968.8</v>
      </c>
      <c r="BV12" s="155">
        <v>380190.19999999995</v>
      </c>
      <c r="BW12" s="153">
        <v>0</v>
      </c>
      <c r="BX12" s="150">
        <v>0</v>
      </c>
      <c r="BY12" s="150">
        <v>64070</v>
      </c>
      <c r="BZ12" s="154">
        <v>1495</v>
      </c>
      <c r="CA12" s="156">
        <v>314625.19999999995</v>
      </c>
      <c r="CB12" s="151">
        <f>SUM(CB13:CB20)</f>
        <v>851898</v>
      </c>
      <c r="CC12" s="154"/>
      <c r="CD12" s="154"/>
      <c r="CE12" s="150">
        <v>845490</v>
      </c>
      <c r="CF12" s="155">
        <v>19445</v>
      </c>
      <c r="CG12" s="153">
        <v>0</v>
      </c>
      <c r="CH12" s="150">
        <v>0</v>
      </c>
      <c r="CI12" s="150">
        <v>0</v>
      </c>
      <c r="CJ12" s="154">
        <v>6408</v>
      </c>
      <c r="CK12" s="156">
        <v>13037</v>
      </c>
      <c r="CL12" s="157">
        <v>0</v>
      </c>
      <c r="CM12" s="123">
        <v>0</v>
      </c>
      <c r="CN12" s="158">
        <v>713367.89</v>
      </c>
      <c r="CO12" s="157">
        <v>286324.09999999998</v>
      </c>
      <c r="CP12" s="154">
        <v>35578.81</v>
      </c>
      <c r="CQ12" s="151">
        <v>11057401.449999999</v>
      </c>
      <c r="CR12" s="150">
        <v>7102640.2700000005</v>
      </c>
      <c r="CS12" s="150">
        <v>3954761.1799999988</v>
      </c>
      <c r="CT12" s="150">
        <v>11057401.449999999</v>
      </c>
      <c r="CU12" s="150">
        <v>7816008.1600000001</v>
      </c>
      <c r="CV12" s="155">
        <v>3241393.2899999991</v>
      </c>
    </row>
    <row r="13" spans="1:102" x14ac:dyDescent="0.55000000000000004">
      <c r="A13" s="130" t="s">
        <v>90</v>
      </c>
      <c r="B13" s="139">
        <f t="shared" ref="B13:B20" si="0">C13+D13+E13+F13+G13</f>
        <v>800516.7</v>
      </c>
      <c r="C13" s="134">
        <v>378674.7</v>
      </c>
      <c r="D13" s="132">
        <v>0</v>
      </c>
      <c r="E13" s="147">
        <v>384442</v>
      </c>
      <c r="F13" s="147">
        <v>37400</v>
      </c>
      <c r="G13" s="159">
        <v>0</v>
      </c>
      <c r="H13" s="132"/>
      <c r="I13" s="182"/>
      <c r="J13" s="131">
        <f t="shared" ref="J13:J20" si="1">M13+O13+P13+Q13+R13</f>
        <v>581039.2300000001</v>
      </c>
      <c r="K13" s="134"/>
      <c r="L13" s="134"/>
      <c r="M13" s="134">
        <v>346064.24000000011</v>
      </c>
      <c r="N13" s="136">
        <v>405820.75999999989</v>
      </c>
      <c r="O13" s="133">
        <v>0</v>
      </c>
      <c r="P13" s="147">
        <v>172450.88999999998</v>
      </c>
      <c r="Q13" s="147">
        <v>62524.1</v>
      </c>
      <c r="R13" s="132">
        <v>0</v>
      </c>
      <c r="S13" s="136">
        <v>170845.7699999999</v>
      </c>
      <c r="T13" s="131">
        <f t="shared" ref="T13:T20" si="2">W13+Y13+Z13+AA13+AB13</f>
        <v>182037</v>
      </c>
      <c r="U13" s="134"/>
      <c r="V13" s="194"/>
      <c r="W13" s="134">
        <v>75337</v>
      </c>
      <c r="X13" s="135">
        <v>246920</v>
      </c>
      <c r="Y13" s="133">
        <v>0</v>
      </c>
      <c r="Z13" s="147">
        <v>106700</v>
      </c>
      <c r="AA13" s="147">
        <v>0</v>
      </c>
      <c r="AB13" s="132">
        <v>0</v>
      </c>
      <c r="AC13" s="136">
        <v>140220</v>
      </c>
      <c r="AD13" s="134">
        <f t="shared" ref="AD13:AD20" si="3">AG13+AI13+AJ13+AK13+AL13</f>
        <v>122768</v>
      </c>
      <c r="AE13" s="134"/>
      <c r="AF13" s="134"/>
      <c r="AG13" s="130">
        <v>122768</v>
      </c>
      <c r="AH13" s="136">
        <v>102020</v>
      </c>
      <c r="AI13" s="133">
        <v>0</v>
      </c>
      <c r="AJ13" s="132">
        <v>0</v>
      </c>
      <c r="AK13" s="138">
        <v>0</v>
      </c>
      <c r="AL13" s="132">
        <v>0</v>
      </c>
      <c r="AM13" s="136">
        <v>102020</v>
      </c>
      <c r="AN13" s="131">
        <f t="shared" ref="AN13:AN20" si="4">AQ13+AS13+AT13+AU13+AV13</f>
        <v>176890</v>
      </c>
      <c r="AO13" s="134"/>
      <c r="AP13" s="194"/>
      <c r="AQ13" s="134">
        <v>176890</v>
      </c>
      <c r="AR13" s="136">
        <v>141455</v>
      </c>
      <c r="AS13" s="133">
        <v>0</v>
      </c>
      <c r="AT13" s="132">
        <v>0</v>
      </c>
      <c r="AU13" s="138">
        <v>0</v>
      </c>
      <c r="AV13" s="132">
        <v>0</v>
      </c>
      <c r="AW13" s="136">
        <v>141455</v>
      </c>
      <c r="AX13" s="131">
        <f t="shared" ref="AX13:AX20" si="5">BA13+BC13+BD13+BE13+BF13</f>
        <v>346460</v>
      </c>
      <c r="AY13" s="134"/>
      <c r="AZ13" s="194"/>
      <c r="BA13" s="134">
        <v>346460</v>
      </c>
      <c r="BB13" s="136">
        <v>60360</v>
      </c>
      <c r="BC13" s="133">
        <v>0</v>
      </c>
      <c r="BD13" s="132">
        <v>0</v>
      </c>
      <c r="BE13" s="138">
        <v>0</v>
      </c>
      <c r="BF13" s="132">
        <v>0</v>
      </c>
      <c r="BG13" s="136">
        <v>60360</v>
      </c>
      <c r="BH13" s="131">
        <f t="shared" ref="BH13:BH20" si="6">BK13+BM13+BN13+BO13+BP13</f>
        <v>550482.80000000005</v>
      </c>
      <c r="BI13" s="134"/>
      <c r="BJ13" s="194"/>
      <c r="BK13" s="134">
        <v>501852.80000000005</v>
      </c>
      <c r="BL13" s="136">
        <v>565220.19999999995</v>
      </c>
      <c r="BM13" s="133">
        <v>0</v>
      </c>
      <c r="BN13" s="132">
        <v>6830</v>
      </c>
      <c r="BO13" s="138">
        <v>41800</v>
      </c>
      <c r="BP13" s="132">
        <v>0</v>
      </c>
      <c r="BQ13" s="136">
        <v>516590.19999999995</v>
      </c>
      <c r="BR13" s="131">
        <f t="shared" ref="BR13:BR20" si="7">BU13+BW13+BX13+BY13+BZ13</f>
        <v>991273.20000000007</v>
      </c>
      <c r="BS13" s="134"/>
      <c r="BT13" s="194"/>
      <c r="BU13" s="134">
        <v>947153.20000000007</v>
      </c>
      <c r="BV13" s="136">
        <v>276089.79999999993</v>
      </c>
      <c r="BW13" s="133">
        <v>0</v>
      </c>
      <c r="BX13" s="132">
        <v>0</v>
      </c>
      <c r="BY13" s="138">
        <v>44120</v>
      </c>
      <c r="BZ13" s="132">
        <v>0</v>
      </c>
      <c r="CA13" s="136">
        <v>231969.79999999993</v>
      </c>
      <c r="CB13" s="145">
        <f t="shared" ref="CB13:CB20" si="8">CE13+CG13+CH13+CI13+CJ13</f>
        <v>12868</v>
      </c>
      <c r="CC13" s="133"/>
      <c r="CD13" s="133"/>
      <c r="CE13" s="132">
        <v>9910</v>
      </c>
      <c r="CF13" s="137">
        <v>0</v>
      </c>
      <c r="CG13" s="133">
        <v>0</v>
      </c>
      <c r="CH13" s="132">
        <v>0</v>
      </c>
      <c r="CI13" s="138">
        <v>0</v>
      </c>
      <c r="CJ13" s="132">
        <v>2958</v>
      </c>
      <c r="CK13" s="136">
        <v>-2958</v>
      </c>
      <c r="CL13" s="139">
        <v>0</v>
      </c>
      <c r="CM13" s="140">
        <v>0</v>
      </c>
      <c r="CN13" s="141">
        <v>675467.89</v>
      </c>
      <c r="CO13" s="142">
        <v>220644.1</v>
      </c>
      <c r="CP13" s="133">
        <v>2958</v>
      </c>
      <c r="CQ13" s="131">
        <v>5529207</v>
      </c>
      <c r="CR13" s="130">
        <v>2962782.9400000004</v>
      </c>
      <c r="CS13" s="143">
        <v>2566424.0599999996</v>
      </c>
      <c r="CT13" s="130">
        <v>5529207</v>
      </c>
      <c r="CU13" s="130">
        <v>3638250.8300000005</v>
      </c>
      <c r="CV13" s="136">
        <v>1890956.1699999995</v>
      </c>
    </row>
    <row r="14" spans="1:102" x14ac:dyDescent="0.55000000000000004">
      <c r="A14" s="130" t="s">
        <v>83</v>
      </c>
      <c r="B14" s="140">
        <f t="shared" si="0"/>
        <v>0</v>
      </c>
      <c r="C14" s="133">
        <v>0</v>
      </c>
      <c r="D14" s="132">
        <v>0</v>
      </c>
      <c r="E14" s="132">
        <v>0</v>
      </c>
      <c r="F14" s="132">
        <v>0</v>
      </c>
      <c r="G14" s="159">
        <v>0</v>
      </c>
      <c r="H14" s="132"/>
      <c r="I14" s="182"/>
      <c r="J14" s="145">
        <f t="shared" si="1"/>
        <v>0</v>
      </c>
      <c r="K14" s="133"/>
      <c r="L14" s="133"/>
      <c r="M14" s="133">
        <v>0</v>
      </c>
      <c r="N14" s="137">
        <v>0</v>
      </c>
      <c r="O14" s="133">
        <v>0</v>
      </c>
      <c r="P14" s="132">
        <v>0</v>
      </c>
      <c r="Q14" s="132">
        <v>0</v>
      </c>
      <c r="R14" s="132">
        <v>0</v>
      </c>
      <c r="S14" s="136">
        <v>0</v>
      </c>
      <c r="T14" s="145">
        <f t="shared" si="2"/>
        <v>0</v>
      </c>
      <c r="U14" s="133"/>
      <c r="V14" s="180"/>
      <c r="W14" s="133">
        <v>0</v>
      </c>
      <c r="X14" s="137">
        <v>0</v>
      </c>
      <c r="Y14" s="133">
        <v>0</v>
      </c>
      <c r="Z14" s="132">
        <v>0</v>
      </c>
      <c r="AA14" s="132">
        <v>0</v>
      </c>
      <c r="AB14" s="132">
        <v>0</v>
      </c>
      <c r="AC14" s="136">
        <v>0</v>
      </c>
      <c r="AD14" s="145">
        <f t="shared" si="3"/>
        <v>1498</v>
      </c>
      <c r="AE14" s="133"/>
      <c r="AF14" s="133"/>
      <c r="AG14" s="132">
        <v>0</v>
      </c>
      <c r="AH14" s="137">
        <v>0</v>
      </c>
      <c r="AI14" s="133">
        <v>0</v>
      </c>
      <c r="AJ14" s="132">
        <v>0</v>
      </c>
      <c r="AK14" s="138">
        <v>0</v>
      </c>
      <c r="AL14" s="132">
        <v>1498</v>
      </c>
      <c r="AM14" s="136">
        <v>-1498</v>
      </c>
      <c r="AN14" s="145">
        <f t="shared" si="4"/>
        <v>0</v>
      </c>
      <c r="AO14" s="133"/>
      <c r="AP14" s="180"/>
      <c r="AQ14" s="133">
        <v>0</v>
      </c>
      <c r="AR14" s="137">
        <v>0</v>
      </c>
      <c r="AS14" s="133">
        <v>0</v>
      </c>
      <c r="AT14" s="132">
        <v>0</v>
      </c>
      <c r="AU14" s="138">
        <v>0</v>
      </c>
      <c r="AV14" s="132">
        <v>0</v>
      </c>
      <c r="AW14" s="136">
        <v>0</v>
      </c>
      <c r="AX14" s="145">
        <f t="shared" si="5"/>
        <v>0</v>
      </c>
      <c r="AY14" s="133"/>
      <c r="AZ14" s="180"/>
      <c r="BA14" s="133">
        <v>0</v>
      </c>
      <c r="BB14" s="137">
        <v>0</v>
      </c>
      <c r="BC14" s="133">
        <v>0</v>
      </c>
      <c r="BD14" s="132">
        <v>0</v>
      </c>
      <c r="BE14" s="138">
        <v>0</v>
      </c>
      <c r="BF14" s="132">
        <v>0</v>
      </c>
      <c r="BG14" s="136">
        <v>0</v>
      </c>
      <c r="BH14" s="145">
        <f t="shared" si="6"/>
        <v>2850</v>
      </c>
      <c r="BI14" s="133"/>
      <c r="BJ14" s="180"/>
      <c r="BK14" s="133">
        <v>0</v>
      </c>
      <c r="BL14" s="137">
        <v>0</v>
      </c>
      <c r="BM14" s="133">
        <v>0</v>
      </c>
      <c r="BN14" s="132">
        <v>0</v>
      </c>
      <c r="BO14" s="138">
        <v>2850</v>
      </c>
      <c r="BP14" s="132">
        <v>0</v>
      </c>
      <c r="BQ14" s="136">
        <v>-2850</v>
      </c>
      <c r="BR14" s="145">
        <f t="shared" si="7"/>
        <v>1495</v>
      </c>
      <c r="BS14" s="133"/>
      <c r="BT14" s="180"/>
      <c r="BU14" s="133">
        <v>0</v>
      </c>
      <c r="BV14" s="137">
        <v>0</v>
      </c>
      <c r="BW14" s="133">
        <v>0</v>
      </c>
      <c r="BX14" s="132">
        <v>0</v>
      </c>
      <c r="BY14" s="138">
        <v>0</v>
      </c>
      <c r="BZ14" s="132">
        <v>1495</v>
      </c>
      <c r="CA14" s="136">
        <v>-1495</v>
      </c>
      <c r="CB14" s="145">
        <f t="shared" si="8"/>
        <v>0</v>
      </c>
      <c r="CC14" s="133"/>
      <c r="CD14" s="133"/>
      <c r="CE14" s="132">
        <v>0</v>
      </c>
      <c r="CF14" s="137">
        <v>0</v>
      </c>
      <c r="CG14" s="133">
        <v>0</v>
      </c>
      <c r="CH14" s="132">
        <v>0</v>
      </c>
      <c r="CI14" s="138">
        <v>0</v>
      </c>
      <c r="CJ14" s="132">
        <v>0</v>
      </c>
      <c r="CK14" s="136">
        <v>0</v>
      </c>
      <c r="CL14" s="146">
        <v>0</v>
      </c>
      <c r="CM14" s="140">
        <v>0</v>
      </c>
      <c r="CN14" s="141">
        <v>0</v>
      </c>
      <c r="CO14" s="142">
        <v>2850</v>
      </c>
      <c r="CP14" s="133">
        <v>15470.81</v>
      </c>
      <c r="CQ14" s="131">
        <v>836395.95</v>
      </c>
      <c r="CR14" s="130">
        <v>643300.06999999983</v>
      </c>
      <c r="CS14" s="160">
        <v>193095.88000000012</v>
      </c>
      <c r="CT14" s="130">
        <v>836395.95</v>
      </c>
      <c r="CU14" s="130">
        <v>643300.06999999983</v>
      </c>
      <c r="CV14" s="135">
        <v>193095.88000000012</v>
      </c>
    </row>
    <row r="15" spans="1:102" x14ac:dyDescent="0.55000000000000004">
      <c r="A15" s="130" t="s">
        <v>10</v>
      </c>
      <c r="B15" s="139">
        <f t="shared" si="0"/>
        <v>2187.08</v>
      </c>
      <c r="C15" s="134">
        <v>2187.08</v>
      </c>
      <c r="D15" s="132">
        <v>0</v>
      </c>
      <c r="E15" s="132">
        <v>0</v>
      </c>
      <c r="F15" s="132">
        <v>0</v>
      </c>
      <c r="G15" s="159">
        <v>0</v>
      </c>
      <c r="H15" s="132"/>
      <c r="I15" s="182"/>
      <c r="J15" s="145">
        <f t="shared" si="1"/>
        <v>6206</v>
      </c>
      <c r="K15" s="133"/>
      <c r="L15" s="133"/>
      <c r="M15" s="133">
        <v>6206</v>
      </c>
      <c r="N15" s="137">
        <v>0</v>
      </c>
      <c r="O15" s="133">
        <v>0</v>
      </c>
      <c r="P15" s="132">
        <v>0</v>
      </c>
      <c r="Q15" s="132">
        <v>0</v>
      </c>
      <c r="R15" s="132">
        <v>0</v>
      </c>
      <c r="S15" s="136">
        <v>0</v>
      </c>
      <c r="T15" s="145">
        <f t="shared" si="2"/>
        <v>0</v>
      </c>
      <c r="U15" s="133"/>
      <c r="V15" s="180"/>
      <c r="W15" s="133">
        <v>0</v>
      </c>
      <c r="X15" s="137">
        <v>0</v>
      </c>
      <c r="Y15" s="133">
        <v>0</v>
      </c>
      <c r="Z15" s="132">
        <v>0</v>
      </c>
      <c r="AA15" s="132">
        <v>0</v>
      </c>
      <c r="AB15" s="132">
        <v>0</v>
      </c>
      <c r="AC15" s="136">
        <v>0</v>
      </c>
      <c r="AD15" s="145">
        <f t="shared" si="3"/>
        <v>0</v>
      </c>
      <c r="AE15" s="133"/>
      <c r="AF15" s="133"/>
      <c r="AG15" s="132">
        <v>0</v>
      </c>
      <c r="AH15" s="137">
        <v>0</v>
      </c>
      <c r="AI15" s="133">
        <v>0</v>
      </c>
      <c r="AJ15" s="132">
        <v>0</v>
      </c>
      <c r="AK15" s="138">
        <v>0</v>
      </c>
      <c r="AL15" s="132">
        <v>0</v>
      </c>
      <c r="AM15" s="136">
        <v>0</v>
      </c>
      <c r="AN15" s="145">
        <f t="shared" si="4"/>
        <v>61953</v>
      </c>
      <c r="AO15" s="133"/>
      <c r="AP15" s="180"/>
      <c r="AQ15" s="133">
        <v>61953</v>
      </c>
      <c r="AR15" s="137">
        <v>0</v>
      </c>
      <c r="AS15" s="133">
        <v>0</v>
      </c>
      <c r="AT15" s="132">
        <v>0</v>
      </c>
      <c r="AU15" s="138">
        <v>0</v>
      </c>
      <c r="AV15" s="132">
        <v>0</v>
      </c>
      <c r="AW15" s="136">
        <v>0</v>
      </c>
      <c r="AX15" s="131">
        <f t="shared" si="5"/>
        <v>23834.25</v>
      </c>
      <c r="AY15" s="134"/>
      <c r="AZ15" s="194"/>
      <c r="BA15" s="134">
        <v>23834.25</v>
      </c>
      <c r="BB15" s="137">
        <v>0</v>
      </c>
      <c r="BC15" s="133">
        <v>0</v>
      </c>
      <c r="BD15" s="132">
        <v>0</v>
      </c>
      <c r="BE15" s="138">
        <v>0</v>
      </c>
      <c r="BF15" s="132">
        <v>0</v>
      </c>
      <c r="BG15" s="136">
        <v>0</v>
      </c>
      <c r="BH15" s="131">
        <f t="shared" si="6"/>
        <v>9175.25</v>
      </c>
      <c r="BI15" s="134"/>
      <c r="BJ15" s="194"/>
      <c r="BK15" s="134">
        <v>9175.25</v>
      </c>
      <c r="BL15" s="137">
        <v>0</v>
      </c>
      <c r="BM15" s="133">
        <v>0</v>
      </c>
      <c r="BN15" s="132">
        <v>0</v>
      </c>
      <c r="BO15" s="138">
        <v>0</v>
      </c>
      <c r="BP15" s="132">
        <v>0</v>
      </c>
      <c r="BQ15" s="136">
        <v>0</v>
      </c>
      <c r="BR15" s="145">
        <f t="shared" si="7"/>
        <v>6826.6</v>
      </c>
      <c r="BS15" s="133"/>
      <c r="BT15" s="180"/>
      <c r="BU15" s="133">
        <v>6826.6</v>
      </c>
      <c r="BV15" s="137">
        <v>0.3999999999996362</v>
      </c>
      <c r="BW15" s="133">
        <v>0</v>
      </c>
      <c r="BX15" s="132">
        <v>0</v>
      </c>
      <c r="BY15" s="138">
        <v>0</v>
      </c>
      <c r="BZ15" s="132">
        <v>0</v>
      </c>
      <c r="CA15" s="136">
        <v>0.3999999999996362</v>
      </c>
      <c r="CB15" s="131">
        <f t="shared" si="8"/>
        <v>3250</v>
      </c>
      <c r="CC15" s="134"/>
      <c r="CD15" s="134"/>
      <c r="CE15" s="130">
        <v>3250</v>
      </c>
      <c r="CF15" s="137">
        <v>-3250</v>
      </c>
      <c r="CG15" s="133">
        <v>0</v>
      </c>
      <c r="CH15" s="132">
        <v>0</v>
      </c>
      <c r="CI15" s="138">
        <v>0</v>
      </c>
      <c r="CJ15" s="132">
        <v>0</v>
      </c>
      <c r="CK15" s="136">
        <v>-3250</v>
      </c>
      <c r="CL15" s="146">
        <v>0</v>
      </c>
      <c r="CM15" s="140">
        <v>0</v>
      </c>
      <c r="CN15" s="141">
        <v>0</v>
      </c>
      <c r="CO15" s="142">
        <v>0</v>
      </c>
      <c r="CP15" s="133">
        <v>0</v>
      </c>
      <c r="CQ15" s="131">
        <v>144888.5</v>
      </c>
      <c r="CR15" s="130">
        <v>132638.26</v>
      </c>
      <c r="CS15" s="160">
        <v>12250.239999999991</v>
      </c>
      <c r="CT15" s="130">
        <v>144888.5</v>
      </c>
      <c r="CU15" s="130">
        <v>132638.26</v>
      </c>
      <c r="CV15" s="135">
        <v>12250.239999999991</v>
      </c>
    </row>
    <row r="16" spans="1:102" x14ac:dyDescent="0.55000000000000004">
      <c r="A16" s="130" t="s">
        <v>89</v>
      </c>
      <c r="B16" s="140">
        <f t="shared" si="0"/>
        <v>0</v>
      </c>
      <c r="C16" s="133">
        <v>0</v>
      </c>
      <c r="D16" s="132">
        <v>0</v>
      </c>
      <c r="E16" s="132">
        <v>0</v>
      </c>
      <c r="F16" s="132">
        <v>0</v>
      </c>
      <c r="G16" s="159">
        <v>0</v>
      </c>
      <c r="H16" s="132"/>
      <c r="I16" s="182"/>
      <c r="J16" s="131">
        <f t="shared" si="1"/>
        <v>0</v>
      </c>
      <c r="K16" s="134"/>
      <c r="L16" s="134"/>
      <c r="M16" s="134">
        <v>0</v>
      </c>
      <c r="N16" s="137">
        <v>0</v>
      </c>
      <c r="O16" s="133">
        <v>0</v>
      </c>
      <c r="P16" s="132">
        <v>0</v>
      </c>
      <c r="Q16" s="132">
        <v>0</v>
      </c>
      <c r="R16" s="132">
        <v>0</v>
      </c>
      <c r="S16" s="136">
        <v>0</v>
      </c>
      <c r="T16" s="145">
        <f t="shared" si="2"/>
        <v>321</v>
      </c>
      <c r="U16" s="133"/>
      <c r="V16" s="180"/>
      <c r="W16" s="133">
        <v>321</v>
      </c>
      <c r="X16" s="137">
        <v>0</v>
      </c>
      <c r="Y16" s="133">
        <v>0</v>
      </c>
      <c r="Z16" s="132">
        <v>0</v>
      </c>
      <c r="AA16" s="132">
        <v>0</v>
      </c>
      <c r="AB16" s="132">
        <v>0</v>
      </c>
      <c r="AC16" s="136">
        <v>0</v>
      </c>
      <c r="AD16" s="145">
        <f t="shared" si="3"/>
        <v>0</v>
      </c>
      <c r="AE16" s="133"/>
      <c r="AF16" s="133"/>
      <c r="AG16" s="132">
        <v>0</v>
      </c>
      <c r="AH16" s="137">
        <v>20000</v>
      </c>
      <c r="AI16" s="133">
        <v>0</v>
      </c>
      <c r="AJ16" s="132">
        <v>0</v>
      </c>
      <c r="AK16" s="138">
        <v>0</v>
      </c>
      <c r="AL16" s="132">
        <v>0</v>
      </c>
      <c r="AM16" s="136">
        <v>20000</v>
      </c>
      <c r="AN16" s="131">
        <f t="shared" si="4"/>
        <v>153339</v>
      </c>
      <c r="AO16" s="134"/>
      <c r="AP16" s="194"/>
      <c r="AQ16" s="134">
        <v>133009</v>
      </c>
      <c r="AR16" s="135">
        <v>100000</v>
      </c>
      <c r="AS16" s="133">
        <v>0</v>
      </c>
      <c r="AT16" s="132">
        <v>0</v>
      </c>
      <c r="AU16" s="138">
        <v>20330</v>
      </c>
      <c r="AV16" s="132">
        <v>0</v>
      </c>
      <c r="AW16" s="136">
        <v>79670</v>
      </c>
      <c r="AX16" s="145">
        <f t="shared" si="5"/>
        <v>0</v>
      </c>
      <c r="AY16" s="133"/>
      <c r="AZ16" s="180"/>
      <c r="BA16" s="133">
        <v>0</v>
      </c>
      <c r="BB16" s="137">
        <v>0</v>
      </c>
      <c r="BC16" s="133">
        <v>0</v>
      </c>
      <c r="BD16" s="132">
        <v>0</v>
      </c>
      <c r="BE16" s="138">
        <v>0</v>
      </c>
      <c r="BF16" s="132">
        <v>0</v>
      </c>
      <c r="BG16" s="136">
        <v>0</v>
      </c>
      <c r="BH16" s="131">
        <f t="shared" si="6"/>
        <v>0</v>
      </c>
      <c r="BI16" s="134"/>
      <c r="BJ16" s="194"/>
      <c r="BK16" s="134">
        <v>0</v>
      </c>
      <c r="BL16" s="137">
        <v>0</v>
      </c>
      <c r="BM16" s="133">
        <v>0</v>
      </c>
      <c r="BN16" s="132">
        <v>0</v>
      </c>
      <c r="BO16" s="138">
        <v>0</v>
      </c>
      <c r="BP16" s="132">
        <v>0</v>
      </c>
      <c r="BQ16" s="136">
        <v>0</v>
      </c>
      <c r="BR16" s="145">
        <f t="shared" si="7"/>
        <v>0</v>
      </c>
      <c r="BS16" s="133"/>
      <c r="BT16" s="180"/>
      <c r="BU16" s="133">
        <v>0</v>
      </c>
      <c r="BV16" s="137">
        <v>0</v>
      </c>
      <c r="BW16" s="133">
        <v>0</v>
      </c>
      <c r="BX16" s="132">
        <v>0</v>
      </c>
      <c r="BY16" s="138">
        <v>0</v>
      </c>
      <c r="BZ16" s="132">
        <v>0</v>
      </c>
      <c r="CA16" s="136">
        <v>0</v>
      </c>
      <c r="CB16" s="131">
        <f t="shared" si="8"/>
        <v>0</v>
      </c>
      <c r="CC16" s="134"/>
      <c r="CD16" s="134"/>
      <c r="CE16" s="130">
        <v>0</v>
      </c>
      <c r="CF16" s="137">
        <v>0</v>
      </c>
      <c r="CG16" s="133">
        <v>0</v>
      </c>
      <c r="CH16" s="132">
        <v>0</v>
      </c>
      <c r="CI16" s="138">
        <v>0</v>
      </c>
      <c r="CJ16" s="132">
        <v>0</v>
      </c>
      <c r="CK16" s="136">
        <v>0</v>
      </c>
      <c r="CL16" s="146">
        <v>0</v>
      </c>
      <c r="CM16" s="140">
        <v>0</v>
      </c>
      <c r="CN16" s="141">
        <v>0</v>
      </c>
      <c r="CO16" s="142">
        <v>20330</v>
      </c>
      <c r="CP16" s="133">
        <v>0</v>
      </c>
      <c r="CQ16" s="131">
        <v>253330</v>
      </c>
      <c r="CR16" s="130">
        <v>133330</v>
      </c>
      <c r="CS16" s="160">
        <v>120000</v>
      </c>
      <c r="CT16" s="130">
        <v>253330</v>
      </c>
      <c r="CU16" s="130">
        <v>133330</v>
      </c>
      <c r="CV16" s="135">
        <v>120000</v>
      </c>
    </row>
    <row r="17" spans="1:100" x14ac:dyDescent="0.55000000000000004">
      <c r="A17" s="130" t="s">
        <v>96</v>
      </c>
      <c r="B17" s="139">
        <f t="shared" si="0"/>
        <v>107630</v>
      </c>
      <c r="C17" s="134">
        <v>87130</v>
      </c>
      <c r="D17" s="132">
        <v>0</v>
      </c>
      <c r="E17" s="147">
        <v>20500</v>
      </c>
      <c r="F17" s="132"/>
      <c r="G17" s="159"/>
      <c r="H17" s="132"/>
      <c r="I17" s="182"/>
      <c r="J17" s="131">
        <f t="shared" si="1"/>
        <v>41150</v>
      </c>
      <c r="K17" s="134"/>
      <c r="L17" s="134"/>
      <c r="M17" s="134">
        <v>33250</v>
      </c>
      <c r="N17" s="136">
        <v>72000</v>
      </c>
      <c r="O17" s="133">
        <v>0</v>
      </c>
      <c r="P17" s="147">
        <v>7900</v>
      </c>
      <c r="Q17" s="132"/>
      <c r="R17" s="132"/>
      <c r="S17" s="136">
        <v>64100</v>
      </c>
      <c r="T17" s="131">
        <f t="shared" si="2"/>
        <v>21450</v>
      </c>
      <c r="U17" s="134"/>
      <c r="V17" s="194"/>
      <c r="W17" s="134">
        <v>13550</v>
      </c>
      <c r="X17" s="136">
        <v>-400</v>
      </c>
      <c r="Y17" s="133">
        <v>0</v>
      </c>
      <c r="Z17" s="147">
        <v>7900</v>
      </c>
      <c r="AA17" s="132"/>
      <c r="AB17" s="132"/>
      <c r="AC17" s="136">
        <v>-8300</v>
      </c>
      <c r="AD17" s="134">
        <f t="shared" si="3"/>
        <v>36300</v>
      </c>
      <c r="AE17" s="134"/>
      <c r="AF17" s="134"/>
      <c r="AG17" s="130">
        <v>25900</v>
      </c>
      <c r="AH17" s="135">
        <v>20800</v>
      </c>
      <c r="AI17" s="133">
        <v>0</v>
      </c>
      <c r="AJ17" s="132">
        <v>0</v>
      </c>
      <c r="AK17" s="138">
        <v>0</v>
      </c>
      <c r="AL17" s="132">
        <v>10400</v>
      </c>
      <c r="AM17" s="136">
        <v>10400</v>
      </c>
      <c r="AN17" s="131">
        <f t="shared" si="4"/>
        <v>60391</v>
      </c>
      <c r="AO17" s="134"/>
      <c r="AP17" s="194"/>
      <c r="AQ17" s="134">
        <v>60391</v>
      </c>
      <c r="AR17" s="136">
        <v>212041</v>
      </c>
      <c r="AS17" s="133">
        <v>0</v>
      </c>
      <c r="AT17" s="132">
        <v>0</v>
      </c>
      <c r="AU17" s="138">
        <v>0</v>
      </c>
      <c r="AV17" s="132">
        <v>0</v>
      </c>
      <c r="AW17" s="136">
        <v>212041</v>
      </c>
      <c r="AX17" s="131">
        <f t="shared" si="5"/>
        <v>77380</v>
      </c>
      <c r="AY17" s="134"/>
      <c r="AZ17" s="194"/>
      <c r="BA17" s="134">
        <v>77380</v>
      </c>
      <c r="BB17" s="136">
        <v>-6700</v>
      </c>
      <c r="BC17" s="133">
        <v>0</v>
      </c>
      <c r="BD17" s="132">
        <v>0</v>
      </c>
      <c r="BE17" s="138">
        <v>0</v>
      </c>
      <c r="BF17" s="132">
        <v>0</v>
      </c>
      <c r="BG17" s="136">
        <v>-6700</v>
      </c>
      <c r="BH17" s="131">
        <f t="shared" si="6"/>
        <v>78650</v>
      </c>
      <c r="BI17" s="134"/>
      <c r="BJ17" s="194"/>
      <c r="BK17" s="134">
        <v>77050</v>
      </c>
      <c r="BL17" s="136">
        <v>-1600</v>
      </c>
      <c r="BM17" s="133">
        <v>0</v>
      </c>
      <c r="BN17" s="132">
        <v>1600</v>
      </c>
      <c r="BO17" s="138"/>
      <c r="BP17" s="132"/>
      <c r="BQ17" s="136">
        <v>-3200</v>
      </c>
      <c r="BR17" s="131">
        <f t="shared" si="7"/>
        <v>243364</v>
      </c>
      <c r="BS17" s="134"/>
      <c r="BT17" s="194"/>
      <c r="BU17" s="134">
        <v>232714</v>
      </c>
      <c r="BV17" s="136">
        <v>84000</v>
      </c>
      <c r="BW17" s="133">
        <v>0</v>
      </c>
      <c r="BX17" s="132">
        <v>0</v>
      </c>
      <c r="BY17" s="138">
        <v>10650</v>
      </c>
      <c r="BZ17" s="132">
        <v>0</v>
      </c>
      <c r="CA17" s="136">
        <v>73350</v>
      </c>
      <c r="CB17" s="131">
        <f t="shared" si="8"/>
        <v>17635</v>
      </c>
      <c r="CC17" s="134"/>
      <c r="CD17" s="134"/>
      <c r="CE17" s="130">
        <v>17635</v>
      </c>
      <c r="CF17" s="137">
        <v>0</v>
      </c>
      <c r="CG17" s="133">
        <v>0</v>
      </c>
      <c r="CH17" s="132">
        <v>0</v>
      </c>
      <c r="CI17" s="138">
        <v>0</v>
      </c>
      <c r="CJ17" s="132">
        <v>0</v>
      </c>
      <c r="CK17" s="136">
        <v>0</v>
      </c>
      <c r="CL17" s="139">
        <v>0</v>
      </c>
      <c r="CM17" s="140">
        <v>0</v>
      </c>
      <c r="CN17" s="141">
        <v>37900</v>
      </c>
      <c r="CO17" s="142">
        <v>10650</v>
      </c>
      <c r="CP17" s="133">
        <v>13700</v>
      </c>
      <c r="CQ17" s="131">
        <v>1119384</v>
      </c>
      <c r="CR17" s="130">
        <v>654157</v>
      </c>
      <c r="CS17" s="143">
        <v>465227</v>
      </c>
      <c r="CT17" s="130">
        <v>1119384</v>
      </c>
      <c r="CU17" s="130">
        <v>692057</v>
      </c>
      <c r="CV17" s="135">
        <v>427327</v>
      </c>
    </row>
    <row r="18" spans="1:100" x14ac:dyDescent="0.55000000000000004">
      <c r="A18" s="130" t="s">
        <v>97</v>
      </c>
      <c r="B18" s="139">
        <f t="shared" si="0"/>
        <v>90400</v>
      </c>
      <c r="C18" s="134">
        <v>70400</v>
      </c>
      <c r="D18" s="130"/>
      <c r="E18" s="147"/>
      <c r="F18" s="147">
        <v>20000</v>
      </c>
      <c r="G18" s="147"/>
      <c r="H18" s="130"/>
      <c r="I18" s="181"/>
      <c r="J18" s="145">
        <f t="shared" si="1"/>
        <v>0</v>
      </c>
      <c r="K18" s="133"/>
      <c r="L18" s="133"/>
      <c r="M18" s="133">
        <v>0</v>
      </c>
      <c r="N18" s="137">
        <v>0</v>
      </c>
      <c r="O18" s="134"/>
      <c r="P18" s="147"/>
      <c r="Q18" s="147"/>
      <c r="R18" s="147"/>
      <c r="S18" s="136">
        <v>0</v>
      </c>
      <c r="T18" s="145">
        <f t="shared" si="2"/>
        <v>0</v>
      </c>
      <c r="U18" s="133"/>
      <c r="V18" s="180"/>
      <c r="W18" s="133">
        <v>0</v>
      </c>
      <c r="X18" s="137">
        <v>0</v>
      </c>
      <c r="Y18" s="134"/>
      <c r="Z18" s="147"/>
      <c r="AA18" s="147"/>
      <c r="AB18" s="147"/>
      <c r="AC18" s="136">
        <v>0</v>
      </c>
      <c r="AD18" s="145">
        <f t="shared" si="3"/>
        <v>0</v>
      </c>
      <c r="AE18" s="133"/>
      <c r="AF18" s="133"/>
      <c r="AG18" s="132">
        <v>0</v>
      </c>
      <c r="AH18" s="137">
        <v>0</v>
      </c>
      <c r="AI18" s="134"/>
      <c r="AJ18" s="147"/>
      <c r="AK18" s="147"/>
      <c r="AL18" s="147"/>
      <c r="AM18" s="136">
        <v>0</v>
      </c>
      <c r="AN18" s="145">
        <f t="shared" si="4"/>
        <v>0</v>
      </c>
      <c r="AO18" s="133"/>
      <c r="AP18" s="180"/>
      <c r="AQ18" s="133">
        <v>0</v>
      </c>
      <c r="AR18" s="137">
        <v>0</v>
      </c>
      <c r="AS18" s="134"/>
      <c r="AT18" s="147"/>
      <c r="AU18" s="147"/>
      <c r="AV18" s="147"/>
      <c r="AW18" s="136">
        <v>0</v>
      </c>
      <c r="AX18" s="131">
        <f t="shared" si="5"/>
        <v>128250</v>
      </c>
      <c r="AY18" s="134"/>
      <c r="AZ18" s="194"/>
      <c r="BA18" s="134">
        <v>128250</v>
      </c>
      <c r="BB18" s="136">
        <v>0</v>
      </c>
      <c r="BC18" s="134"/>
      <c r="BD18" s="147"/>
      <c r="BE18" s="147"/>
      <c r="BF18" s="147"/>
      <c r="BG18" s="136">
        <v>0</v>
      </c>
      <c r="BH18" s="145">
        <f t="shared" si="6"/>
        <v>0</v>
      </c>
      <c r="BI18" s="133"/>
      <c r="BJ18" s="180"/>
      <c r="BK18" s="133">
        <v>0</v>
      </c>
      <c r="BL18" s="137">
        <v>0</v>
      </c>
      <c r="BM18" s="134"/>
      <c r="BN18" s="147"/>
      <c r="BO18" s="147"/>
      <c r="BP18" s="147"/>
      <c r="BQ18" s="136">
        <v>0</v>
      </c>
      <c r="BR18" s="131">
        <f t="shared" si="7"/>
        <v>286200</v>
      </c>
      <c r="BS18" s="134"/>
      <c r="BT18" s="194"/>
      <c r="BU18" s="134">
        <v>286200</v>
      </c>
      <c r="BV18" s="136">
        <v>0</v>
      </c>
      <c r="BW18" s="134"/>
      <c r="BX18" s="147"/>
      <c r="BY18" s="147"/>
      <c r="BZ18" s="147"/>
      <c r="CA18" s="136">
        <v>0</v>
      </c>
      <c r="CB18" s="131">
        <f t="shared" si="8"/>
        <v>746250</v>
      </c>
      <c r="CC18" s="134"/>
      <c r="CD18" s="134"/>
      <c r="CE18" s="130">
        <v>746250</v>
      </c>
      <c r="CF18" s="136">
        <v>9250</v>
      </c>
      <c r="CG18" s="134"/>
      <c r="CH18" s="147"/>
      <c r="CI18" s="147"/>
      <c r="CJ18" s="147"/>
      <c r="CK18" s="136">
        <v>9250</v>
      </c>
      <c r="CL18" s="139">
        <v>0</v>
      </c>
      <c r="CM18" s="140"/>
      <c r="CN18" s="141"/>
      <c r="CO18" s="142">
        <v>20000</v>
      </c>
      <c r="CP18" s="149"/>
      <c r="CQ18" s="131">
        <v>1275350</v>
      </c>
      <c r="CR18" s="130">
        <v>1231100</v>
      </c>
      <c r="CS18" s="143">
        <v>44250</v>
      </c>
      <c r="CT18" s="130">
        <v>1275350</v>
      </c>
      <c r="CU18" s="130">
        <v>1231100</v>
      </c>
      <c r="CV18" s="136">
        <v>44250</v>
      </c>
    </row>
    <row r="19" spans="1:100" x14ac:dyDescent="0.55000000000000004">
      <c r="A19" s="130" t="s">
        <v>98</v>
      </c>
      <c r="B19" s="139">
        <f t="shared" si="0"/>
        <v>277171</v>
      </c>
      <c r="C19" s="134">
        <v>277171</v>
      </c>
      <c r="D19" s="132">
        <v>0</v>
      </c>
      <c r="E19" s="132">
        <v>0</v>
      </c>
      <c r="F19" s="159">
        <v>0</v>
      </c>
      <c r="G19" s="159">
        <v>0</v>
      </c>
      <c r="H19" s="132"/>
      <c r="I19" s="182"/>
      <c r="J19" s="131">
        <f t="shared" si="1"/>
        <v>5170</v>
      </c>
      <c r="K19" s="134"/>
      <c r="L19" s="134"/>
      <c r="M19" s="134">
        <v>2730</v>
      </c>
      <c r="N19" s="137">
        <v>0</v>
      </c>
      <c r="O19" s="133">
        <v>0</v>
      </c>
      <c r="P19" s="132">
        <v>0</v>
      </c>
      <c r="Q19" s="159">
        <v>2440</v>
      </c>
      <c r="R19" s="159">
        <v>0</v>
      </c>
      <c r="S19" s="136">
        <v>-2440</v>
      </c>
      <c r="T19" s="131">
        <f t="shared" si="2"/>
        <v>186236</v>
      </c>
      <c r="U19" s="134"/>
      <c r="V19" s="194"/>
      <c r="W19" s="134">
        <v>186236</v>
      </c>
      <c r="X19" s="137">
        <v>0</v>
      </c>
      <c r="Y19" s="133">
        <v>0</v>
      </c>
      <c r="Z19" s="132">
        <v>0</v>
      </c>
      <c r="AA19" s="159">
        <v>0</v>
      </c>
      <c r="AB19" s="159">
        <v>0</v>
      </c>
      <c r="AC19" s="136">
        <v>0</v>
      </c>
      <c r="AD19" s="134">
        <f t="shared" si="3"/>
        <v>69000</v>
      </c>
      <c r="AE19" s="134"/>
      <c r="AF19" s="134"/>
      <c r="AG19" s="130">
        <v>69000</v>
      </c>
      <c r="AH19" s="137">
        <v>128940</v>
      </c>
      <c r="AI19" s="133">
        <v>0</v>
      </c>
      <c r="AJ19" s="132">
        <v>0</v>
      </c>
      <c r="AK19" s="159">
        <v>0</v>
      </c>
      <c r="AL19" s="159">
        <v>0</v>
      </c>
      <c r="AM19" s="136">
        <v>128940</v>
      </c>
      <c r="AN19" s="131">
        <f t="shared" si="4"/>
        <v>154069</v>
      </c>
      <c r="AO19" s="134"/>
      <c r="AP19" s="194"/>
      <c r="AQ19" s="134">
        <v>154069</v>
      </c>
      <c r="AR19" s="137">
        <v>0</v>
      </c>
      <c r="AS19" s="133">
        <v>0</v>
      </c>
      <c r="AT19" s="132">
        <v>0</v>
      </c>
      <c r="AU19" s="159">
        <v>0</v>
      </c>
      <c r="AV19" s="159">
        <v>0</v>
      </c>
      <c r="AW19" s="136">
        <v>0</v>
      </c>
      <c r="AX19" s="131">
        <f t="shared" si="5"/>
        <v>2300</v>
      </c>
      <c r="AY19" s="134"/>
      <c r="AZ19" s="194"/>
      <c r="BA19" s="134">
        <v>2300</v>
      </c>
      <c r="BB19" s="137">
        <v>0</v>
      </c>
      <c r="BC19" s="133">
        <v>0</v>
      </c>
      <c r="BD19" s="132">
        <v>0</v>
      </c>
      <c r="BE19" s="159">
        <v>0</v>
      </c>
      <c r="BF19" s="159">
        <v>0</v>
      </c>
      <c r="BG19" s="136">
        <v>0</v>
      </c>
      <c r="BH19" s="145">
        <f t="shared" si="6"/>
        <v>307811</v>
      </c>
      <c r="BI19" s="133"/>
      <c r="BJ19" s="180"/>
      <c r="BK19" s="133">
        <v>307811</v>
      </c>
      <c r="BL19" s="137">
        <v>0</v>
      </c>
      <c r="BM19" s="133">
        <v>0</v>
      </c>
      <c r="BN19" s="132">
        <v>0</v>
      </c>
      <c r="BO19" s="159">
        <v>0</v>
      </c>
      <c r="BP19" s="159">
        <v>0</v>
      </c>
      <c r="BQ19" s="136">
        <v>0</v>
      </c>
      <c r="BR19" s="131">
        <f t="shared" si="7"/>
        <v>2260</v>
      </c>
      <c r="BS19" s="149"/>
      <c r="BT19" s="194"/>
      <c r="BU19" s="149">
        <v>2260</v>
      </c>
      <c r="BV19" s="137">
        <v>0</v>
      </c>
      <c r="BW19" s="133">
        <v>0</v>
      </c>
      <c r="BX19" s="132">
        <v>0</v>
      </c>
      <c r="BY19" s="159">
        <v>0</v>
      </c>
      <c r="BZ19" s="159">
        <v>0</v>
      </c>
      <c r="CA19" s="136">
        <v>0</v>
      </c>
      <c r="CB19" s="145">
        <f t="shared" si="8"/>
        <v>0</v>
      </c>
      <c r="CC19" s="133"/>
      <c r="CD19" s="133"/>
      <c r="CE19" s="132">
        <v>0</v>
      </c>
      <c r="CF19" s="137">
        <v>0</v>
      </c>
      <c r="CG19" s="133">
        <v>0</v>
      </c>
      <c r="CH19" s="132">
        <v>0</v>
      </c>
      <c r="CI19" s="159">
        <v>0</v>
      </c>
      <c r="CJ19" s="159">
        <v>0</v>
      </c>
      <c r="CK19" s="136">
        <v>0</v>
      </c>
      <c r="CL19" s="140">
        <v>0</v>
      </c>
      <c r="CM19" s="140">
        <v>0</v>
      </c>
      <c r="CN19" s="141">
        <v>0</v>
      </c>
      <c r="CO19" s="142">
        <v>2440</v>
      </c>
      <c r="CP19" s="146">
        <v>0</v>
      </c>
      <c r="CQ19" s="131">
        <v>1629617</v>
      </c>
      <c r="CR19" s="130">
        <v>1114677</v>
      </c>
      <c r="CS19" s="160">
        <v>514940</v>
      </c>
      <c r="CT19" s="130">
        <v>1629617</v>
      </c>
      <c r="CU19" s="130">
        <v>1114677</v>
      </c>
      <c r="CV19" s="135">
        <v>514940</v>
      </c>
    </row>
    <row r="20" spans="1:100" x14ac:dyDescent="0.55000000000000004">
      <c r="A20" s="130" t="s">
        <v>99</v>
      </c>
      <c r="B20" s="140">
        <f t="shared" si="0"/>
        <v>0</v>
      </c>
      <c r="C20" s="133">
        <v>0</v>
      </c>
      <c r="D20" s="130"/>
      <c r="E20" s="159"/>
      <c r="F20" s="159"/>
      <c r="G20" s="159"/>
      <c r="H20" s="132"/>
      <c r="I20" s="182"/>
      <c r="J20" s="131">
        <f t="shared" si="1"/>
        <v>15470</v>
      </c>
      <c r="K20" s="134"/>
      <c r="L20" s="134"/>
      <c r="M20" s="134">
        <v>15470</v>
      </c>
      <c r="N20" s="135">
        <v>-2765</v>
      </c>
      <c r="O20" s="134"/>
      <c r="P20" s="159"/>
      <c r="Q20" s="159"/>
      <c r="R20" s="159"/>
      <c r="S20" s="136">
        <v>-2765</v>
      </c>
      <c r="T20" s="131">
        <f t="shared" si="2"/>
        <v>7275</v>
      </c>
      <c r="U20" s="134"/>
      <c r="V20" s="194"/>
      <c r="W20" s="134">
        <v>7275</v>
      </c>
      <c r="X20" s="135">
        <v>0</v>
      </c>
      <c r="Y20" s="134"/>
      <c r="Z20" s="159"/>
      <c r="AA20" s="159"/>
      <c r="AB20" s="159"/>
      <c r="AC20" s="136">
        <v>0</v>
      </c>
      <c r="AD20" s="145">
        <f t="shared" si="3"/>
        <v>1925</v>
      </c>
      <c r="AE20" s="133"/>
      <c r="AF20" s="133"/>
      <c r="AG20" s="132">
        <v>1925</v>
      </c>
      <c r="AH20" s="137">
        <v>0</v>
      </c>
      <c r="AI20" s="134"/>
      <c r="AJ20" s="159"/>
      <c r="AK20" s="159"/>
      <c r="AL20" s="159"/>
      <c r="AM20" s="136">
        <v>0</v>
      </c>
      <c r="AN20" s="131">
        <f t="shared" si="4"/>
        <v>6730</v>
      </c>
      <c r="AO20" s="134"/>
      <c r="AP20" s="194"/>
      <c r="AQ20" s="134">
        <v>6730</v>
      </c>
      <c r="AR20" s="137">
        <v>0</v>
      </c>
      <c r="AS20" s="134"/>
      <c r="AT20" s="159"/>
      <c r="AU20" s="159"/>
      <c r="AV20" s="159"/>
      <c r="AW20" s="136">
        <v>0</v>
      </c>
      <c r="AX20" s="131">
        <f t="shared" si="5"/>
        <v>32970</v>
      </c>
      <c r="AY20" s="134"/>
      <c r="AZ20" s="194"/>
      <c r="BA20" s="134">
        <v>32970</v>
      </c>
      <c r="BB20" s="136">
        <v>5125</v>
      </c>
      <c r="BC20" s="134"/>
      <c r="BD20" s="159"/>
      <c r="BE20" s="159"/>
      <c r="BF20" s="159"/>
      <c r="BG20" s="136">
        <v>5125</v>
      </c>
      <c r="BH20" s="131">
        <f t="shared" si="6"/>
        <v>4635</v>
      </c>
      <c r="BI20" s="134"/>
      <c r="BJ20" s="194"/>
      <c r="BK20" s="134">
        <v>4635</v>
      </c>
      <c r="BL20" s="137">
        <v>0</v>
      </c>
      <c r="BM20" s="134"/>
      <c r="BN20" s="159"/>
      <c r="BO20" s="159"/>
      <c r="BP20" s="159"/>
      <c r="BQ20" s="136">
        <v>0</v>
      </c>
      <c r="BR20" s="131">
        <f t="shared" si="7"/>
        <v>71115</v>
      </c>
      <c r="BS20" s="134"/>
      <c r="BT20" s="194"/>
      <c r="BU20" s="134">
        <v>61815</v>
      </c>
      <c r="BV20" s="135">
        <v>20100</v>
      </c>
      <c r="BW20" s="134"/>
      <c r="BX20" s="159"/>
      <c r="BY20" s="159">
        <v>9300</v>
      </c>
      <c r="BZ20" s="159">
        <v>0</v>
      </c>
      <c r="CA20" s="136">
        <v>10800</v>
      </c>
      <c r="CB20" s="131">
        <f t="shared" si="8"/>
        <v>71895</v>
      </c>
      <c r="CC20" s="134"/>
      <c r="CD20" s="134"/>
      <c r="CE20" s="130">
        <v>68445</v>
      </c>
      <c r="CF20" s="136">
        <v>13445</v>
      </c>
      <c r="CG20" s="134"/>
      <c r="CH20" s="159"/>
      <c r="CI20" s="159"/>
      <c r="CJ20" s="159">
        <v>3450</v>
      </c>
      <c r="CK20" s="136">
        <v>9995</v>
      </c>
      <c r="CL20" s="139">
        <v>0</v>
      </c>
      <c r="CM20" s="140"/>
      <c r="CN20" s="141"/>
      <c r="CO20" s="142">
        <v>9300</v>
      </c>
      <c r="CP20" s="146">
        <v>3450</v>
      </c>
      <c r="CQ20" s="131">
        <v>269229</v>
      </c>
      <c r="CR20" s="130">
        <v>230655</v>
      </c>
      <c r="CS20" s="160">
        <v>38574</v>
      </c>
      <c r="CT20" s="130">
        <v>269229</v>
      </c>
      <c r="CU20" s="130">
        <v>230655</v>
      </c>
      <c r="CV20" s="135">
        <v>38574</v>
      </c>
    </row>
    <row r="21" spans="1:100" x14ac:dyDescent="0.55000000000000004">
      <c r="A21" s="150" t="s">
        <v>12</v>
      </c>
      <c r="B21" s="157">
        <f>SUM(B22:B25)</f>
        <v>8839</v>
      </c>
      <c r="C21" s="154">
        <v>800</v>
      </c>
      <c r="D21" s="152">
        <v>8039</v>
      </c>
      <c r="E21" s="150">
        <v>0</v>
      </c>
      <c r="F21" s="150">
        <v>0</v>
      </c>
      <c r="G21" s="152">
        <v>0</v>
      </c>
      <c r="H21" s="150"/>
      <c r="I21" s="155"/>
      <c r="J21" s="151">
        <f>SUM(J22:J25)</f>
        <v>107756</v>
      </c>
      <c r="K21" s="154"/>
      <c r="L21" s="154"/>
      <c r="M21" s="154">
        <v>0</v>
      </c>
      <c r="N21" s="155">
        <v>152756</v>
      </c>
      <c r="O21" s="153">
        <v>107756</v>
      </c>
      <c r="P21" s="150">
        <v>0</v>
      </c>
      <c r="Q21" s="150">
        <v>0</v>
      </c>
      <c r="R21" s="150">
        <v>0</v>
      </c>
      <c r="S21" s="156">
        <v>45000</v>
      </c>
      <c r="T21" s="151">
        <f>SUM(T22:T25)</f>
        <v>38685.199999999997</v>
      </c>
      <c r="U21" s="154"/>
      <c r="V21" s="156"/>
      <c r="W21" s="154">
        <v>9280</v>
      </c>
      <c r="X21" s="155">
        <v>29405.200000000001</v>
      </c>
      <c r="Y21" s="153">
        <v>29405.200000000001</v>
      </c>
      <c r="Z21" s="150">
        <v>0</v>
      </c>
      <c r="AA21" s="150">
        <v>0</v>
      </c>
      <c r="AB21" s="150">
        <v>0</v>
      </c>
      <c r="AC21" s="156">
        <v>0</v>
      </c>
      <c r="AD21" s="154">
        <f>SUM(AD22:AD25)</f>
        <v>251451.1</v>
      </c>
      <c r="AE21" s="154"/>
      <c r="AF21" s="154"/>
      <c r="AG21" s="150">
        <v>6530</v>
      </c>
      <c r="AH21" s="155">
        <v>273243</v>
      </c>
      <c r="AI21" s="153">
        <v>244921.1</v>
      </c>
      <c r="AJ21" s="150">
        <v>0</v>
      </c>
      <c r="AK21" s="150">
        <v>0</v>
      </c>
      <c r="AL21" s="150">
        <v>0</v>
      </c>
      <c r="AM21" s="156">
        <v>28321.899999999994</v>
      </c>
      <c r="AN21" s="151">
        <f>SUM(AN22:AN25)</f>
        <v>241584.6</v>
      </c>
      <c r="AO21" s="154"/>
      <c r="AP21" s="156"/>
      <c r="AQ21" s="154">
        <v>0</v>
      </c>
      <c r="AR21" s="155">
        <v>291584.09999999998</v>
      </c>
      <c r="AS21" s="153">
        <v>241584.6</v>
      </c>
      <c r="AT21" s="150">
        <v>0</v>
      </c>
      <c r="AU21" s="150">
        <v>0</v>
      </c>
      <c r="AV21" s="150">
        <v>0</v>
      </c>
      <c r="AW21" s="156">
        <v>49999.499999999971</v>
      </c>
      <c r="AX21" s="151">
        <f>SUM(AX22:AX25)</f>
        <v>132043.35</v>
      </c>
      <c r="AY21" s="154"/>
      <c r="AZ21" s="156"/>
      <c r="BA21" s="154">
        <v>5895.7</v>
      </c>
      <c r="BB21" s="155">
        <v>126147.95000000001</v>
      </c>
      <c r="BC21" s="153">
        <v>126147.65000000001</v>
      </c>
      <c r="BD21" s="150">
        <v>0</v>
      </c>
      <c r="BE21" s="150">
        <v>0</v>
      </c>
      <c r="BF21" s="150">
        <v>0</v>
      </c>
      <c r="BG21" s="156">
        <v>0.3000000000001819</v>
      </c>
      <c r="BH21" s="151">
        <f>SUM(BH22:BH25)</f>
        <v>176605</v>
      </c>
      <c r="BI21" s="154"/>
      <c r="BJ21" s="156"/>
      <c r="BK21" s="154">
        <v>0</v>
      </c>
      <c r="BL21" s="155">
        <v>176605</v>
      </c>
      <c r="BM21" s="153">
        <v>176605</v>
      </c>
      <c r="BN21" s="150">
        <v>0</v>
      </c>
      <c r="BO21" s="150">
        <v>0</v>
      </c>
      <c r="BP21" s="150">
        <v>0</v>
      </c>
      <c r="BQ21" s="156">
        <v>0</v>
      </c>
      <c r="BR21" s="151">
        <f>SUM(BR22:BR25)</f>
        <v>299896.55</v>
      </c>
      <c r="BS21" s="154"/>
      <c r="BT21" s="156"/>
      <c r="BU21" s="154">
        <v>55391.05</v>
      </c>
      <c r="BV21" s="155">
        <v>249505.95</v>
      </c>
      <c r="BW21" s="153">
        <v>244505.5</v>
      </c>
      <c r="BX21" s="150">
        <v>0</v>
      </c>
      <c r="BY21" s="150">
        <v>0</v>
      </c>
      <c r="BZ21" s="150">
        <v>0</v>
      </c>
      <c r="CA21" s="156">
        <v>5000.4499999999971</v>
      </c>
      <c r="CB21" s="151">
        <f>SUM(CB22:CB25)</f>
        <v>388637.16</v>
      </c>
      <c r="CC21" s="154"/>
      <c r="CD21" s="154"/>
      <c r="CE21" s="150">
        <v>39178.86</v>
      </c>
      <c r="CF21" s="155">
        <v>337270.29</v>
      </c>
      <c r="CG21" s="153">
        <v>349458.3</v>
      </c>
      <c r="CH21" s="150">
        <v>0</v>
      </c>
      <c r="CI21" s="150">
        <v>0</v>
      </c>
      <c r="CJ21" s="150">
        <v>0</v>
      </c>
      <c r="CK21" s="156">
        <v>-12188.009999999987</v>
      </c>
      <c r="CL21" s="123">
        <v>0</v>
      </c>
      <c r="CM21" s="161">
        <v>1607504.2300000002</v>
      </c>
      <c r="CN21" s="124">
        <v>0</v>
      </c>
      <c r="CO21" s="157">
        <v>0</v>
      </c>
      <c r="CP21" s="154">
        <v>0</v>
      </c>
      <c r="CQ21" s="162">
        <v>2643019.66</v>
      </c>
      <c r="CR21" s="143">
        <v>742985.66</v>
      </c>
      <c r="CS21" s="143">
        <v>1900034</v>
      </c>
      <c r="CT21" s="143">
        <v>2643019.66</v>
      </c>
      <c r="CU21" s="143">
        <v>2350489.89</v>
      </c>
      <c r="CV21" s="136">
        <v>292529.77</v>
      </c>
    </row>
    <row r="22" spans="1:100" x14ac:dyDescent="0.55000000000000004">
      <c r="A22" s="130" t="s">
        <v>13</v>
      </c>
      <c r="B22" s="139">
        <f>C22+D22+E22+F22+G22</f>
        <v>800</v>
      </c>
      <c r="C22" s="134">
        <v>800</v>
      </c>
      <c r="D22" s="132">
        <v>0</v>
      </c>
      <c r="E22" s="132">
        <v>0</v>
      </c>
      <c r="F22" s="132">
        <v>0</v>
      </c>
      <c r="G22" s="159">
        <v>0</v>
      </c>
      <c r="H22" s="132"/>
      <c r="I22" s="182"/>
      <c r="J22" s="145">
        <f>M22+O22+P22+Q22+R22</f>
        <v>0</v>
      </c>
      <c r="K22" s="133"/>
      <c r="L22" s="133"/>
      <c r="M22" s="133">
        <v>0</v>
      </c>
      <c r="N22" s="137">
        <v>10000</v>
      </c>
      <c r="O22" s="133">
        <v>0</v>
      </c>
      <c r="P22" s="132">
        <v>0</v>
      </c>
      <c r="Q22" s="132">
        <v>0</v>
      </c>
      <c r="R22" s="132">
        <v>0</v>
      </c>
      <c r="S22" s="136">
        <v>10000</v>
      </c>
      <c r="T22" s="131">
        <f>W22+Y22+Z22+AA22+AB22</f>
        <v>9280</v>
      </c>
      <c r="U22" s="134"/>
      <c r="V22" s="194"/>
      <c r="W22" s="134">
        <v>9280</v>
      </c>
      <c r="X22" s="136">
        <v>0</v>
      </c>
      <c r="Y22" s="133">
        <v>0</v>
      </c>
      <c r="Z22" s="132">
        <v>0</v>
      </c>
      <c r="AA22" s="132">
        <v>0</v>
      </c>
      <c r="AB22" s="132">
        <v>0</v>
      </c>
      <c r="AC22" s="136">
        <v>0</v>
      </c>
      <c r="AD22" s="145">
        <f>AG22+AI22+AJ22+AK22+AL22</f>
        <v>6530</v>
      </c>
      <c r="AE22" s="133"/>
      <c r="AF22" s="133"/>
      <c r="AG22" s="132">
        <v>6530</v>
      </c>
      <c r="AH22" s="137">
        <v>2750</v>
      </c>
      <c r="AI22" s="133">
        <v>0</v>
      </c>
      <c r="AJ22" s="132">
        <v>0</v>
      </c>
      <c r="AK22" s="132">
        <v>0</v>
      </c>
      <c r="AL22" s="132">
        <v>0</v>
      </c>
      <c r="AM22" s="136">
        <v>2750</v>
      </c>
      <c r="AN22" s="131">
        <f>AQ22+AS22+AT22+AU22+AV22</f>
        <v>0</v>
      </c>
      <c r="AO22" s="134"/>
      <c r="AP22" s="194"/>
      <c r="AQ22" s="134">
        <v>0</v>
      </c>
      <c r="AR22" s="136">
        <v>0</v>
      </c>
      <c r="AS22" s="133">
        <v>0</v>
      </c>
      <c r="AT22" s="132">
        <v>0</v>
      </c>
      <c r="AU22" s="132">
        <v>0</v>
      </c>
      <c r="AV22" s="132">
        <v>0</v>
      </c>
      <c r="AW22" s="136">
        <v>0</v>
      </c>
      <c r="AX22" s="131">
        <f>BA22+BC22+BD22+BE22+BF22</f>
        <v>5895.7</v>
      </c>
      <c r="AY22" s="134"/>
      <c r="AZ22" s="194"/>
      <c r="BA22" s="134">
        <v>5895.7</v>
      </c>
      <c r="BB22" s="137">
        <v>0.3000000000001819</v>
      </c>
      <c r="BC22" s="133">
        <v>0</v>
      </c>
      <c r="BD22" s="132">
        <v>0</v>
      </c>
      <c r="BE22" s="132">
        <v>0</v>
      </c>
      <c r="BF22" s="132">
        <v>0</v>
      </c>
      <c r="BG22" s="136">
        <v>0.3000000000001819</v>
      </c>
      <c r="BH22" s="131">
        <f>BK22+BM22+BN22+BO22+BP22</f>
        <v>0</v>
      </c>
      <c r="BI22" s="134"/>
      <c r="BJ22" s="194"/>
      <c r="BK22" s="134">
        <v>0</v>
      </c>
      <c r="BL22" s="136">
        <v>0</v>
      </c>
      <c r="BM22" s="133">
        <v>0</v>
      </c>
      <c r="BN22" s="132">
        <v>0</v>
      </c>
      <c r="BO22" s="132">
        <v>0</v>
      </c>
      <c r="BP22" s="132">
        <v>0</v>
      </c>
      <c r="BQ22" s="136">
        <v>0</v>
      </c>
      <c r="BR22" s="131">
        <f>BU22+BW22+BX22+BY22+BZ22</f>
        <v>55391.05</v>
      </c>
      <c r="BS22" s="134"/>
      <c r="BT22" s="194"/>
      <c r="BU22" s="134">
        <v>55391.05</v>
      </c>
      <c r="BV22" s="136">
        <v>5499.9499999999971</v>
      </c>
      <c r="BW22" s="133">
        <v>0</v>
      </c>
      <c r="BX22" s="132">
        <v>0</v>
      </c>
      <c r="BY22" s="132">
        <v>0</v>
      </c>
      <c r="BZ22" s="132">
        <v>0</v>
      </c>
      <c r="CA22" s="136">
        <v>5499.9499999999971</v>
      </c>
      <c r="CB22" s="131">
        <f>CE22+CG22+CH22+CI22+CJ22</f>
        <v>39178.86</v>
      </c>
      <c r="CC22" s="134"/>
      <c r="CD22" s="134"/>
      <c r="CE22" s="130">
        <v>39178.86</v>
      </c>
      <c r="CF22" s="137">
        <v>-20071.71</v>
      </c>
      <c r="CG22" s="133">
        <v>0</v>
      </c>
      <c r="CH22" s="132">
        <v>0</v>
      </c>
      <c r="CI22" s="132">
        <v>0</v>
      </c>
      <c r="CJ22" s="132">
        <v>0</v>
      </c>
      <c r="CK22" s="136">
        <v>-20071.71</v>
      </c>
      <c r="CL22" s="140">
        <v>0</v>
      </c>
      <c r="CM22" s="140">
        <v>0</v>
      </c>
      <c r="CN22" s="141">
        <v>0</v>
      </c>
      <c r="CO22" s="142">
        <v>0</v>
      </c>
      <c r="CP22" s="133">
        <v>0</v>
      </c>
      <c r="CQ22" s="131">
        <v>897560.15</v>
      </c>
      <c r="CR22" s="130">
        <v>742985.66</v>
      </c>
      <c r="CS22" s="143">
        <v>154574.49</v>
      </c>
      <c r="CT22" s="130">
        <v>897560.15</v>
      </c>
      <c r="CU22" s="130">
        <v>742985.66</v>
      </c>
      <c r="CV22" s="136">
        <v>154574.49</v>
      </c>
    </row>
    <row r="23" spans="1:100" x14ac:dyDescent="0.55000000000000004">
      <c r="A23" s="147" t="s">
        <v>88</v>
      </c>
      <c r="B23" s="140">
        <f>C23+D23+E23+F23+G23</f>
        <v>0</v>
      </c>
      <c r="C23" s="133">
        <v>0</v>
      </c>
      <c r="D23" s="132">
        <v>0</v>
      </c>
      <c r="E23" s="132">
        <v>0</v>
      </c>
      <c r="F23" s="132">
        <v>0</v>
      </c>
      <c r="G23" s="159">
        <v>0</v>
      </c>
      <c r="H23" s="132"/>
      <c r="I23" s="182"/>
      <c r="J23" s="145">
        <f>M23+O23+P23+Q23+R23</f>
        <v>0</v>
      </c>
      <c r="K23" s="133"/>
      <c r="L23" s="133"/>
      <c r="M23" s="133">
        <v>0</v>
      </c>
      <c r="N23" s="137">
        <v>0</v>
      </c>
      <c r="O23" s="133">
        <v>0</v>
      </c>
      <c r="P23" s="132">
        <v>0</v>
      </c>
      <c r="Q23" s="132">
        <v>0</v>
      </c>
      <c r="R23" s="132">
        <v>0</v>
      </c>
      <c r="S23" s="136">
        <v>0</v>
      </c>
      <c r="T23" s="145">
        <f>W23+Y23+Z23+AA23+AB23</f>
        <v>0</v>
      </c>
      <c r="U23" s="133"/>
      <c r="V23" s="180"/>
      <c r="W23" s="133">
        <v>0</v>
      </c>
      <c r="X23" s="137">
        <v>0</v>
      </c>
      <c r="Y23" s="133">
        <v>0</v>
      </c>
      <c r="Z23" s="132">
        <v>0</v>
      </c>
      <c r="AA23" s="132">
        <v>0</v>
      </c>
      <c r="AB23" s="132">
        <v>0</v>
      </c>
      <c r="AC23" s="136">
        <v>0</v>
      </c>
      <c r="AD23" s="145">
        <f>AG23+AI23+AJ23+AK23+AL23</f>
        <v>0</v>
      </c>
      <c r="AE23" s="133"/>
      <c r="AF23" s="133"/>
      <c r="AG23" s="132">
        <v>0</v>
      </c>
      <c r="AH23" s="137">
        <v>0</v>
      </c>
      <c r="AI23" s="133">
        <v>0</v>
      </c>
      <c r="AJ23" s="132">
        <v>0</v>
      </c>
      <c r="AK23" s="132">
        <v>0</v>
      </c>
      <c r="AL23" s="132">
        <v>0</v>
      </c>
      <c r="AM23" s="136">
        <v>0</v>
      </c>
      <c r="AN23" s="145">
        <f>AQ23+AS23+AT23+AU23+AV23</f>
        <v>0</v>
      </c>
      <c r="AO23" s="133"/>
      <c r="AP23" s="180"/>
      <c r="AQ23" s="133">
        <v>0</v>
      </c>
      <c r="AR23" s="137">
        <v>0</v>
      </c>
      <c r="AS23" s="133">
        <v>0</v>
      </c>
      <c r="AT23" s="132">
        <v>0</v>
      </c>
      <c r="AU23" s="132">
        <v>0</v>
      </c>
      <c r="AV23" s="132">
        <v>0</v>
      </c>
      <c r="AW23" s="136">
        <v>0</v>
      </c>
      <c r="AX23" s="145">
        <f>BA23+BC23+BD23+BE23+BF23</f>
        <v>0</v>
      </c>
      <c r="AY23" s="133"/>
      <c r="AZ23" s="180"/>
      <c r="BA23" s="133">
        <v>0</v>
      </c>
      <c r="BB23" s="137">
        <v>0</v>
      </c>
      <c r="BC23" s="133">
        <v>0</v>
      </c>
      <c r="BD23" s="132">
        <v>0</v>
      </c>
      <c r="BE23" s="132">
        <v>0</v>
      </c>
      <c r="BF23" s="132">
        <v>0</v>
      </c>
      <c r="BG23" s="136">
        <v>0</v>
      </c>
      <c r="BH23" s="145">
        <f>BK23+BM23+BN23+BO23+BP23</f>
        <v>0</v>
      </c>
      <c r="BI23" s="133"/>
      <c r="BJ23" s="180"/>
      <c r="BK23" s="133">
        <v>0</v>
      </c>
      <c r="BL23" s="137">
        <v>0</v>
      </c>
      <c r="BM23" s="133">
        <v>0</v>
      </c>
      <c r="BN23" s="132">
        <v>0</v>
      </c>
      <c r="BO23" s="132">
        <v>0</v>
      </c>
      <c r="BP23" s="132">
        <v>0</v>
      </c>
      <c r="BQ23" s="136">
        <v>0</v>
      </c>
      <c r="BR23" s="145">
        <f>BU23+BW23+BX23+BY23+BZ23</f>
        <v>0</v>
      </c>
      <c r="BS23" s="133"/>
      <c r="BT23" s="180"/>
      <c r="BU23" s="133">
        <v>0</v>
      </c>
      <c r="BV23" s="137">
        <v>0</v>
      </c>
      <c r="BW23" s="133">
        <v>0</v>
      </c>
      <c r="BX23" s="132">
        <v>0</v>
      </c>
      <c r="BY23" s="132">
        <v>0</v>
      </c>
      <c r="BZ23" s="132">
        <v>0</v>
      </c>
      <c r="CA23" s="136">
        <v>0</v>
      </c>
      <c r="CB23" s="145">
        <f>CE23+CG23+CH23+CI23+CJ23</f>
        <v>0</v>
      </c>
      <c r="CC23" s="133"/>
      <c r="CD23" s="133"/>
      <c r="CE23" s="132">
        <v>0</v>
      </c>
      <c r="CF23" s="137">
        <v>0</v>
      </c>
      <c r="CG23" s="133">
        <v>0</v>
      </c>
      <c r="CH23" s="132">
        <v>0</v>
      </c>
      <c r="CI23" s="132">
        <v>0</v>
      </c>
      <c r="CJ23" s="132">
        <v>0</v>
      </c>
      <c r="CK23" s="136">
        <v>0</v>
      </c>
      <c r="CL23" s="140">
        <v>0</v>
      </c>
      <c r="CM23" s="140">
        <v>0</v>
      </c>
      <c r="CN23" s="141">
        <v>0</v>
      </c>
      <c r="CO23" s="142">
        <v>0</v>
      </c>
      <c r="CP23" s="140">
        <v>0</v>
      </c>
      <c r="CQ23" s="133">
        <v>0</v>
      </c>
      <c r="CR23" s="132">
        <v>0</v>
      </c>
      <c r="CS23" s="121">
        <v>0</v>
      </c>
      <c r="CT23" s="133">
        <v>0</v>
      </c>
      <c r="CU23" s="132">
        <v>0</v>
      </c>
      <c r="CV23" s="137">
        <v>0</v>
      </c>
    </row>
    <row r="24" spans="1:100" x14ac:dyDescent="0.55000000000000004">
      <c r="A24" s="147" t="s">
        <v>14</v>
      </c>
      <c r="B24" s="140">
        <f>C24+D24+E24+F24+G24</f>
        <v>0</v>
      </c>
      <c r="C24" s="133">
        <v>0</v>
      </c>
      <c r="D24" s="132">
        <v>0</v>
      </c>
      <c r="E24" s="132">
        <v>0</v>
      </c>
      <c r="F24" s="132">
        <v>0</v>
      </c>
      <c r="G24" s="159">
        <v>0</v>
      </c>
      <c r="H24" s="132"/>
      <c r="I24" s="182"/>
      <c r="J24" s="145">
        <f>M24+O24+P24+Q24+R24</f>
        <v>0</v>
      </c>
      <c r="K24" s="133"/>
      <c r="L24" s="133"/>
      <c r="M24" s="133">
        <v>0</v>
      </c>
      <c r="N24" s="137">
        <v>0</v>
      </c>
      <c r="O24" s="133">
        <v>0</v>
      </c>
      <c r="P24" s="132">
        <v>0</v>
      </c>
      <c r="Q24" s="132">
        <v>0</v>
      </c>
      <c r="R24" s="132">
        <v>0</v>
      </c>
      <c r="S24" s="136">
        <v>0</v>
      </c>
      <c r="T24" s="145">
        <f>W24+Y24+Z24+AA24+AB24</f>
        <v>0</v>
      </c>
      <c r="U24" s="133"/>
      <c r="V24" s="180"/>
      <c r="W24" s="133">
        <v>0</v>
      </c>
      <c r="X24" s="137">
        <v>0</v>
      </c>
      <c r="Y24" s="133">
        <v>0</v>
      </c>
      <c r="Z24" s="132">
        <v>0</v>
      </c>
      <c r="AA24" s="132">
        <v>0</v>
      </c>
      <c r="AB24" s="132">
        <v>0</v>
      </c>
      <c r="AC24" s="136">
        <v>0</v>
      </c>
      <c r="AD24" s="145">
        <f>AG24+AI24+AJ24+AK24+AL24</f>
        <v>0</v>
      </c>
      <c r="AE24" s="133"/>
      <c r="AF24" s="133"/>
      <c r="AG24" s="132">
        <v>0</v>
      </c>
      <c r="AH24" s="137">
        <v>0</v>
      </c>
      <c r="AI24" s="133">
        <v>0</v>
      </c>
      <c r="AJ24" s="132">
        <v>0</v>
      </c>
      <c r="AK24" s="132">
        <v>0</v>
      </c>
      <c r="AL24" s="132">
        <v>0</v>
      </c>
      <c r="AM24" s="136">
        <v>0</v>
      </c>
      <c r="AN24" s="145">
        <f>AQ24+AS24+AT24+AU24+AV24</f>
        <v>0</v>
      </c>
      <c r="AO24" s="133"/>
      <c r="AP24" s="180"/>
      <c r="AQ24" s="133">
        <v>0</v>
      </c>
      <c r="AR24" s="137">
        <v>0</v>
      </c>
      <c r="AS24" s="133">
        <v>0</v>
      </c>
      <c r="AT24" s="132">
        <v>0</v>
      </c>
      <c r="AU24" s="132">
        <v>0</v>
      </c>
      <c r="AV24" s="132">
        <v>0</v>
      </c>
      <c r="AW24" s="136">
        <v>0</v>
      </c>
      <c r="AX24" s="145">
        <f>BA24+BC24+BD24+BE24+BF24</f>
        <v>0</v>
      </c>
      <c r="AY24" s="133"/>
      <c r="AZ24" s="180"/>
      <c r="BA24" s="133">
        <v>0</v>
      </c>
      <c r="BB24" s="137">
        <v>0</v>
      </c>
      <c r="BC24" s="133">
        <v>0</v>
      </c>
      <c r="BD24" s="132">
        <v>0</v>
      </c>
      <c r="BE24" s="132">
        <v>0</v>
      </c>
      <c r="BF24" s="132">
        <v>0</v>
      </c>
      <c r="BG24" s="136">
        <v>0</v>
      </c>
      <c r="BH24" s="145">
        <f>BK24+BM24+BN24+BO24+BP24</f>
        <v>0</v>
      </c>
      <c r="BI24" s="133"/>
      <c r="BJ24" s="180"/>
      <c r="BK24" s="133">
        <v>0</v>
      </c>
      <c r="BL24" s="137">
        <v>0</v>
      </c>
      <c r="BM24" s="133">
        <v>0</v>
      </c>
      <c r="BN24" s="132">
        <v>0</v>
      </c>
      <c r="BO24" s="132">
        <v>0</v>
      </c>
      <c r="BP24" s="132">
        <v>0</v>
      </c>
      <c r="BQ24" s="136">
        <v>0</v>
      </c>
      <c r="BR24" s="145">
        <f>BU24+BW24+BX24+BY24+BZ24</f>
        <v>0</v>
      </c>
      <c r="BS24" s="133"/>
      <c r="BT24" s="180"/>
      <c r="BU24" s="133">
        <v>0</v>
      </c>
      <c r="BV24" s="137">
        <v>0</v>
      </c>
      <c r="BW24" s="133">
        <v>0</v>
      </c>
      <c r="BX24" s="132">
        <v>0</v>
      </c>
      <c r="BY24" s="132">
        <v>0</v>
      </c>
      <c r="BZ24" s="132">
        <v>0</v>
      </c>
      <c r="CA24" s="136">
        <v>0</v>
      </c>
      <c r="CB24" s="145">
        <f>CE24+CG24+CH24+CI24+CJ24</f>
        <v>0</v>
      </c>
      <c r="CC24" s="133"/>
      <c r="CD24" s="133"/>
      <c r="CE24" s="132">
        <v>0</v>
      </c>
      <c r="CF24" s="137">
        <v>0</v>
      </c>
      <c r="CG24" s="133">
        <v>0</v>
      </c>
      <c r="CH24" s="132">
        <v>0</v>
      </c>
      <c r="CI24" s="132">
        <v>0</v>
      </c>
      <c r="CJ24" s="132">
        <v>0</v>
      </c>
      <c r="CK24" s="136">
        <v>0</v>
      </c>
      <c r="CL24" s="140">
        <v>0</v>
      </c>
      <c r="CM24" s="140">
        <v>0</v>
      </c>
      <c r="CN24" s="141">
        <v>0</v>
      </c>
      <c r="CO24" s="142">
        <v>0</v>
      </c>
      <c r="CP24" s="140">
        <v>0</v>
      </c>
      <c r="CQ24" s="133">
        <v>0</v>
      </c>
      <c r="CR24" s="132">
        <v>0</v>
      </c>
      <c r="CS24" s="121">
        <v>0</v>
      </c>
      <c r="CT24" s="133">
        <v>0</v>
      </c>
      <c r="CU24" s="132">
        <v>0</v>
      </c>
      <c r="CV24" s="137">
        <v>0</v>
      </c>
    </row>
    <row r="25" spans="1:100" x14ac:dyDescent="0.55000000000000004">
      <c r="A25" s="130" t="s">
        <v>15</v>
      </c>
      <c r="B25" s="139">
        <f>C25+D25+E25+F25+G25</f>
        <v>8039</v>
      </c>
      <c r="C25" s="133">
        <v>0</v>
      </c>
      <c r="D25" s="130">
        <v>8039</v>
      </c>
      <c r="E25" s="132">
        <v>0</v>
      </c>
      <c r="F25" s="132">
        <v>0</v>
      </c>
      <c r="G25" s="159">
        <v>0</v>
      </c>
      <c r="H25" s="132"/>
      <c r="I25" s="182"/>
      <c r="J25" s="131">
        <f>M25+O25+P25+Q25+R25</f>
        <v>107756</v>
      </c>
      <c r="K25" s="134"/>
      <c r="L25" s="134"/>
      <c r="M25" s="134">
        <v>0</v>
      </c>
      <c r="N25" s="136">
        <v>142756</v>
      </c>
      <c r="O25" s="133">
        <v>107756</v>
      </c>
      <c r="P25" s="132">
        <v>0</v>
      </c>
      <c r="Q25" s="132">
        <v>0</v>
      </c>
      <c r="R25" s="132">
        <v>0</v>
      </c>
      <c r="S25" s="136">
        <v>35000</v>
      </c>
      <c r="T25" s="131">
        <f>W25+Y25+Z25+AA25+AB25</f>
        <v>29405.200000000001</v>
      </c>
      <c r="U25" s="134"/>
      <c r="V25" s="194"/>
      <c r="W25" s="134">
        <v>0</v>
      </c>
      <c r="X25" s="136">
        <v>29405.200000000001</v>
      </c>
      <c r="Y25" s="133">
        <v>29405.200000000001</v>
      </c>
      <c r="Z25" s="132">
        <v>0</v>
      </c>
      <c r="AA25" s="132">
        <v>0</v>
      </c>
      <c r="AB25" s="132">
        <v>0</v>
      </c>
      <c r="AC25" s="136">
        <v>0</v>
      </c>
      <c r="AD25" s="134">
        <f>AG25+AI25+AJ25+AK25+AL25</f>
        <v>244921.1</v>
      </c>
      <c r="AE25" s="134"/>
      <c r="AF25" s="134"/>
      <c r="AG25" s="130">
        <v>0</v>
      </c>
      <c r="AH25" s="136">
        <v>270493</v>
      </c>
      <c r="AI25" s="133">
        <v>244921.1</v>
      </c>
      <c r="AJ25" s="132">
        <v>0</v>
      </c>
      <c r="AK25" s="132">
        <v>0</v>
      </c>
      <c r="AL25" s="132">
        <v>0</v>
      </c>
      <c r="AM25" s="136">
        <v>25571.899999999994</v>
      </c>
      <c r="AN25" s="131">
        <f>AQ25+AS25+AT25+AU25+AV25</f>
        <v>241584.6</v>
      </c>
      <c r="AO25" s="134"/>
      <c r="AP25" s="194"/>
      <c r="AQ25" s="134">
        <v>0</v>
      </c>
      <c r="AR25" s="136">
        <v>291584.09999999998</v>
      </c>
      <c r="AS25" s="133">
        <v>241584.6</v>
      </c>
      <c r="AT25" s="132">
        <v>0</v>
      </c>
      <c r="AU25" s="132">
        <v>0</v>
      </c>
      <c r="AV25" s="132">
        <v>0</v>
      </c>
      <c r="AW25" s="136">
        <v>49999.499999999971</v>
      </c>
      <c r="AX25" s="131">
        <f>BA25+BC25+BD25+BE25+BF25</f>
        <v>126147.65000000001</v>
      </c>
      <c r="AY25" s="134"/>
      <c r="AZ25" s="194"/>
      <c r="BA25" s="134">
        <v>0</v>
      </c>
      <c r="BB25" s="136">
        <v>126147.65000000001</v>
      </c>
      <c r="BC25" s="133">
        <v>126147.65000000001</v>
      </c>
      <c r="BD25" s="132">
        <v>0</v>
      </c>
      <c r="BE25" s="132">
        <v>0</v>
      </c>
      <c r="BF25" s="132">
        <v>0</v>
      </c>
      <c r="BG25" s="136">
        <v>0</v>
      </c>
      <c r="BH25" s="131">
        <f>BK25+BM25+BN25+BO25+BP25</f>
        <v>176605</v>
      </c>
      <c r="BI25" s="134"/>
      <c r="BJ25" s="194"/>
      <c r="BK25" s="134">
        <v>0</v>
      </c>
      <c r="BL25" s="136">
        <v>176605</v>
      </c>
      <c r="BM25" s="133">
        <v>176605</v>
      </c>
      <c r="BN25" s="132">
        <v>0</v>
      </c>
      <c r="BO25" s="132">
        <v>0</v>
      </c>
      <c r="BP25" s="132">
        <v>0</v>
      </c>
      <c r="BQ25" s="136">
        <v>0</v>
      </c>
      <c r="BR25" s="131">
        <f>BU25+BW25+BX25+BY25+BZ25</f>
        <v>244505.5</v>
      </c>
      <c r="BS25" s="134"/>
      <c r="BT25" s="194"/>
      <c r="BU25" s="134">
        <v>0</v>
      </c>
      <c r="BV25" s="136">
        <v>244006</v>
      </c>
      <c r="BW25" s="133">
        <v>244505.5</v>
      </c>
      <c r="BX25" s="132">
        <v>0</v>
      </c>
      <c r="BY25" s="132">
        <v>0</v>
      </c>
      <c r="BZ25" s="132">
        <v>0</v>
      </c>
      <c r="CA25" s="136">
        <v>-499.5</v>
      </c>
      <c r="CB25" s="131">
        <f>CE25+CG25+CH25+CI25+CJ25</f>
        <v>349458.3</v>
      </c>
      <c r="CC25" s="134"/>
      <c r="CD25" s="134"/>
      <c r="CE25" s="130">
        <v>0</v>
      </c>
      <c r="CF25" s="136">
        <v>357342</v>
      </c>
      <c r="CG25" s="133">
        <v>349458.3</v>
      </c>
      <c r="CH25" s="132">
        <v>0</v>
      </c>
      <c r="CI25" s="132">
        <v>0</v>
      </c>
      <c r="CJ25" s="132">
        <v>0</v>
      </c>
      <c r="CK25" s="136">
        <v>7883.7000000000116</v>
      </c>
      <c r="CL25" s="140">
        <v>0</v>
      </c>
      <c r="CM25" s="140">
        <v>1607504.2300000002</v>
      </c>
      <c r="CN25" s="141">
        <v>0</v>
      </c>
      <c r="CO25" s="142">
        <v>0</v>
      </c>
      <c r="CP25" s="133">
        <v>0</v>
      </c>
      <c r="CQ25" s="131">
        <v>1745459.51</v>
      </c>
      <c r="CR25" s="130">
        <v>0</v>
      </c>
      <c r="CS25" s="143">
        <v>1745459.51</v>
      </c>
      <c r="CT25" s="130">
        <v>1745459.51</v>
      </c>
      <c r="CU25" s="130">
        <v>1607504.2300000002</v>
      </c>
      <c r="CV25" s="136">
        <v>137955.2799999998</v>
      </c>
    </row>
    <row r="26" spans="1:100" x14ac:dyDescent="0.55000000000000004">
      <c r="A26" s="163"/>
      <c r="B26" s="168"/>
      <c r="C26" s="166"/>
      <c r="D26" s="163"/>
      <c r="E26" s="165"/>
      <c r="F26" s="165"/>
      <c r="G26" s="165"/>
      <c r="H26" s="163"/>
      <c r="I26" s="183"/>
      <c r="J26" s="164"/>
      <c r="K26" s="166"/>
      <c r="L26" s="166"/>
      <c r="M26" s="166"/>
      <c r="N26" s="167"/>
      <c r="O26" s="166"/>
      <c r="P26" s="165"/>
      <c r="Q26" s="165"/>
      <c r="R26" s="165"/>
      <c r="S26" s="167"/>
      <c r="T26" s="164"/>
      <c r="U26" s="166"/>
      <c r="V26" s="195"/>
      <c r="W26" s="166"/>
      <c r="X26" s="167"/>
      <c r="Y26" s="166"/>
      <c r="Z26" s="165"/>
      <c r="AA26" s="165"/>
      <c r="AB26" s="165"/>
      <c r="AC26" s="167"/>
      <c r="AD26" s="166"/>
      <c r="AE26" s="166"/>
      <c r="AF26" s="166"/>
      <c r="AG26" s="163"/>
      <c r="AH26" s="167"/>
      <c r="AI26" s="166"/>
      <c r="AJ26" s="165"/>
      <c r="AK26" s="165"/>
      <c r="AL26" s="165"/>
      <c r="AM26" s="167"/>
      <c r="AN26" s="164"/>
      <c r="AO26" s="166"/>
      <c r="AP26" s="195"/>
      <c r="AQ26" s="166"/>
      <c r="AR26" s="167"/>
      <c r="AS26" s="166"/>
      <c r="AT26" s="165"/>
      <c r="AU26" s="165"/>
      <c r="AV26" s="165"/>
      <c r="AW26" s="167"/>
      <c r="AX26" s="164"/>
      <c r="AY26" s="166"/>
      <c r="AZ26" s="195"/>
      <c r="BA26" s="166"/>
      <c r="BB26" s="167"/>
      <c r="BC26" s="166"/>
      <c r="BD26" s="165"/>
      <c r="BE26" s="165"/>
      <c r="BF26" s="165"/>
      <c r="BG26" s="167"/>
      <c r="BH26" s="164"/>
      <c r="BI26" s="166"/>
      <c r="BJ26" s="195"/>
      <c r="BK26" s="166"/>
      <c r="BL26" s="167"/>
      <c r="BM26" s="166"/>
      <c r="BN26" s="165"/>
      <c r="BO26" s="165"/>
      <c r="BP26" s="165"/>
      <c r="BQ26" s="167"/>
      <c r="BR26" s="164"/>
      <c r="BS26" s="166"/>
      <c r="BT26" s="195"/>
      <c r="BU26" s="166"/>
      <c r="BV26" s="167"/>
      <c r="BW26" s="166"/>
      <c r="BX26" s="165"/>
      <c r="BY26" s="165"/>
      <c r="BZ26" s="165"/>
      <c r="CA26" s="167"/>
      <c r="CB26" s="164"/>
      <c r="CC26" s="166"/>
      <c r="CD26" s="166"/>
      <c r="CE26" s="163"/>
      <c r="CF26" s="167"/>
      <c r="CG26" s="166"/>
      <c r="CH26" s="165"/>
      <c r="CI26" s="165"/>
      <c r="CJ26" s="165"/>
      <c r="CK26" s="167"/>
      <c r="CL26" s="168"/>
      <c r="CM26" s="168"/>
      <c r="CN26" s="169"/>
      <c r="CO26" s="168"/>
      <c r="CP26" s="170"/>
      <c r="CQ26" s="164"/>
      <c r="CR26" s="163"/>
      <c r="CS26" s="171"/>
      <c r="CT26" s="163"/>
      <c r="CU26" s="163"/>
      <c r="CV26" s="167"/>
    </row>
    <row r="27" spans="1:100" x14ac:dyDescent="0.55000000000000004">
      <c r="R27" s="132"/>
      <c r="AA27" s="172"/>
      <c r="AB27" s="173"/>
      <c r="AC27" s="172"/>
      <c r="AH27" s="172"/>
      <c r="AI27" s="172"/>
      <c r="AK27" s="172"/>
      <c r="AL27" s="173"/>
      <c r="AM27" s="172"/>
      <c r="AS27" s="174"/>
      <c r="AT27" s="175"/>
      <c r="AU27" s="172"/>
      <c r="AV27" s="173"/>
      <c r="AW27" s="172"/>
      <c r="BC27" s="174"/>
      <c r="BD27" s="175"/>
      <c r="BE27" s="172"/>
      <c r="BF27" s="173"/>
      <c r="BG27" s="172"/>
      <c r="BM27" s="174"/>
      <c r="BN27" s="175"/>
      <c r="BO27" s="172"/>
      <c r="BP27" s="173"/>
      <c r="BQ27" s="172"/>
      <c r="BW27" s="174"/>
      <c r="BX27" s="175"/>
      <c r="BY27" s="172"/>
      <c r="BZ27" s="173"/>
      <c r="CA27" s="172"/>
      <c r="CG27" s="174"/>
      <c r="CH27" s="175"/>
      <c r="CI27" s="172"/>
      <c r="CJ27" s="173"/>
      <c r="CK27" s="172"/>
      <c r="CO27" s="172"/>
      <c r="CP27" s="173"/>
    </row>
    <row r="28" spans="1:100" x14ac:dyDescent="0.55000000000000004">
      <c r="Z28" s="146"/>
      <c r="AB28" s="81"/>
      <c r="AH28" s="81"/>
      <c r="AI28" s="81"/>
      <c r="AJ28" s="146"/>
      <c r="AL28" s="81"/>
      <c r="AS28" s="81"/>
      <c r="AT28" s="146"/>
      <c r="AV28" s="81"/>
      <c r="BC28" s="81"/>
      <c r="BD28" s="146"/>
      <c r="BF28" s="81"/>
      <c r="BM28" s="81"/>
      <c r="BN28" s="146"/>
      <c r="BP28" s="81"/>
      <c r="BW28" s="81"/>
      <c r="BX28" s="146"/>
      <c r="BZ28" s="81"/>
      <c r="CG28" s="81"/>
      <c r="CH28" s="146"/>
      <c r="CJ28" s="81"/>
      <c r="CP28" s="81"/>
    </row>
    <row r="29" spans="1:100" x14ac:dyDescent="0.55000000000000004">
      <c r="AH29" s="81"/>
      <c r="AI29" s="81"/>
      <c r="AS29" s="81"/>
      <c r="BC29" s="81"/>
      <c r="BM29" s="81"/>
      <c r="BW29" s="81"/>
      <c r="CG29" s="81"/>
    </row>
    <row r="30" spans="1:100" x14ac:dyDescent="0.55000000000000004">
      <c r="A30" s="196" t="s">
        <v>124</v>
      </c>
      <c r="AH30" s="81"/>
      <c r="AI30" s="81"/>
      <c r="AS30" s="81"/>
      <c r="BC30" s="81"/>
      <c r="BM30" s="81"/>
      <c r="BW30" s="81"/>
      <c r="CG30" s="81"/>
    </row>
    <row r="31" spans="1:100" x14ac:dyDescent="0.55000000000000004">
      <c r="AH31" s="81"/>
      <c r="AI31" s="81"/>
      <c r="AS31" s="81"/>
      <c r="BC31" s="81"/>
      <c r="BM31" s="81"/>
      <c r="BW31" s="81"/>
      <c r="CG31" s="81"/>
    </row>
    <row r="32" spans="1:100" x14ac:dyDescent="0.55000000000000004">
      <c r="AH32" s="81"/>
      <c r="AI32" s="81"/>
      <c r="AS32" s="81"/>
      <c r="BC32" s="81"/>
      <c r="BM32" s="81"/>
      <c r="BW32" s="81"/>
      <c r="CG32" s="81"/>
    </row>
    <row r="33" spans="34:85" x14ac:dyDescent="0.55000000000000004">
      <c r="AH33" s="81"/>
      <c r="AI33" s="81"/>
      <c r="AS33" s="81"/>
      <c r="BC33" s="81"/>
      <c r="BM33" s="81"/>
      <c r="BW33" s="81"/>
      <c r="CG33" s="81"/>
    </row>
    <row r="34" spans="34:85" x14ac:dyDescent="0.55000000000000004">
      <c r="AH34" s="81"/>
      <c r="AI34" s="81"/>
      <c r="AS34" s="81"/>
      <c r="BC34" s="81"/>
      <c r="BM34" s="81"/>
      <c r="BW34" s="81"/>
      <c r="CG34" s="81"/>
    </row>
    <row r="35" spans="34:85" x14ac:dyDescent="0.55000000000000004">
      <c r="AH35" s="81"/>
      <c r="AI35" s="81"/>
      <c r="AS35" s="81"/>
      <c r="BC35" s="81"/>
      <c r="BM35" s="81"/>
      <c r="BW35" s="81"/>
      <c r="CG35" s="81"/>
    </row>
    <row r="36" spans="34:85" x14ac:dyDescent="0.55000000000000004">
      <c r="AH36" s="81"/>
      <c r="AI36" s="81"/>
      <c r="AS36" s="81"/>
      <c r="BC36" s="81"/>
      <c r="BM36" s="81"/>
      <c r="BW36" s="81"/>
      <c r="CG36" s="81"/>
    </row>
    <row r="37" spans="34:85" x14ac:dyDescent="0.55000000000000004">
      <c r="AH37" s="81"/>
      <c r="AI37" s="81"/>
      <c r="AS37" s="81"/>
      <c r="BC37" s="81"/>
      <c r="BM37" s="81"/>
      <c r="BW37" s="81"/>
      <c r="CG37" s="81"/>
    </row>
    <row r="38" spans="34:85" x14ac:dyDescent="0.55000000000000004">
      <c r="AH38" s="81"/>
      <c r="AI38" s="81"/>
      <c r="AS38" s="81"/>
      <c r="BC38" s="81"/>
      <c r="BM38" s="81"/>
      <c r="BW38" s="81"/>
      <c r="CG38" s="81"/>
    </row>
    <row r="39" spans="34:85" x14ac:dyDescent="0.55000000000000004">
      <c r="AH39" s="81"/>
      <c r="AI39" s="81"/>
      <c r="AS39" s="81"/>
      <c r="BC39" s="81"/>
      <c r="BM39" s="81"/>
      <c r="BW39" s="81"/>
      <c r="CG39" s="81"/>
    </row>
    <row r="40" spans="34:85" x14ac:dyDescent="0.55000000000000004">
      <c r="AH40" s="81"/>
      <c r="AI40" s="81"/>
      <c r="AS40" s="81"/>
      <c r="BC40" s="81"/>
      <c r="BM40" s="81"/>
      <c r="BW40" s="81"/>
      <c r="CG40" s="81"/>
    </row>
    <row r="41" spans="34:85" x14ac:dyDescent="0.55000000000000004">
      <c r="AH41" s="81"/>
      <c r="AI41" s="81"/>
      <c r="AS41" s="81"/>
      <c r="BC41" s="81"/>
      <c r="BM41" s="81"/>
      <c r="BW41" s="81"/>
      <c r="CG41" s="81"/>
    </row>
    <row r="42" spans="34:85" x14ac:dyDescent="0.55000000000000004">
      <c r="AH42" s="81"/>
      <c r="AI42" s="81"/>
      <c r="AS42" s="81"/>
      <c r="BC42" s="81"/>
      <c r="BM42" s="81"/>
      <c r="BW42" s="81"/>
      <c r="CG42" s="81"/>
    </row>
    <row r="43" spans="34:85" x14ac:dyDescent="0.55000000000000004">
      <c r="AH43" s="81"/>
      <c r="AI43" s="81"/>
      <c r="AS43" s="81"/>
      <c r="BC43" s="81"/>
      <c r="BM43" s="81"/>
      <c r="BW43" s="81"/>
      <c r="CG43" s="81"/>
    </row>
    <row r="44" spans="34:85" x14ac:dyDescent="0.55000000000000004">
      <c r="AH44" s="81"/>
      <c r="AI44" s="81"/>
      <c r="AS44" s="81"/>
      <c r="BC44" s="81"/>
      <c r="BM44" s="81"/>
      <c r="BW44" s="81"/>
      <c r="CG44" s="81"/>
    </row>
    <row r="45" spans="34:85" x14ac:dyDescent="0.55000000000000004">
      <c r="AH45" s="81"/>
      <c r="AI45" s="81"/>
      <c r="AS45" s="81"/>
      <c r="BC45" s="81"/>
      <c r="BM45" s="81"/>
      <c r="BW45" s="81"/>
      <c r="CG45" s="81"/>
    </row>
    <row r="46" spans="34:85" x14ac:dyDescent="0.55000000000000004">
      <c r="AH46" s="81"/>
      <c r="AI46" s="81"/>
      <c r="AS46" s="81"/>
      <c r="BC46" s="81"/>
      <c r="BM46" s="81"/>
      <c r="BW46" s="81"/>
      <c r="CG46" s="81"/>
    </row>
    <row r="47" spans="34:85" x14ac:dyDescent="0.55000000000000004">
      <c r="AH47" s="81"/>
      <c r="AI47" s="81"/>
      <c r="AS47" s="81"/>
      <c r="BC47" s="81"/>
      <c r="BM47" s="81"/>
      <c r="BW47" s="81"/>
      <c r="CG47" s="81"/>
    </row>
    <row r="48" spans="34:85" x14ac:dyDescent="0.55000000000000004">
      <c r="AH48" s="81"/>
      <c r="AI48" s="81"/>
      <c r="AS48" s="81"/>
      <c r="BC48" s="81"/>
      <c r="BM48" s="81"/>
      <c r="BW48" s="81"/>
      <c r="CG48" s="81"/>
    </row>
    <row r="49" spans="34:85" x14ac:dyDescent="0.55000000000000004">
      <c r="AH49" s="81"/>
      <c r="AI49" s="81"/>
      <c r="AS49" s="81"/>
      <c r="BC49" s="81"/>
      <c r="BM49" s="81"/>
      <c r="BW49" s="81"/>
      <c r="CG49" s="81"/>
    </row>
    <row r="50" spans="34:85" x14ac:dyDescent="0.55000000000000004">
      <c r="AH50" s="81"/>
      <c r="AI50" s="81"/>
      <c r="AS50" s="81"/>
      <c r="BC50" s="81"/>
      <c r="BM50" s="81"/>
      <c r="BW50" s="81"/>
      <c r="CG50" s="81"/>
    </row>
    <row r="51" spans="34:85" x14ac:dyDescent="0.55000000000000004">
      <c r="AH51" s="81"/>
      <c r="AI51" s="81"/>
      <c r="AS51" s="81"/>
      <c r="BC51" s="81"/>
      <c r="BM51" s="81"/>
      <c r="BW51" s="81"/>
      <c r="CG51" s="81"/>
    </row>
    <row r="52" spans="34:85" x14ac:dyDescent="0.55000000000000004">
      <c r="AH52" s="81"/>
      <c r="AI52" s="81"/>
      <c r="AS52" s="81"/>
      <c r="BC52" s="81"/>
      <c r="BM52" s="81"/>
      <c r="BW52" s="81"/>
      <c r="CG52" s="81"/>
    </row>
    <row r="53" spans="34:85" x14ac:dyDescent="0.55000000000000004">
      <c r="AH53" s="81"/>
      <c r="AI53" s="81"/>
      <c r="AS53" s="81"/>
      <c r="BC53" s="81"/>
      <c r="BM53" s="81"/>
      <c r="BW53" s="81"/>
      <c r="CG53" s="81"/>
    </row>
    <row r="54" spans="34:85" x14ac:dyDescent="0.55000000000000004">
      <c r="AH54" s="81"/>
      <c r="AI54" s="81"/>
      <c r="AS54" s="81"/>
      <c r="BC54" s="81"/>
      <c r="BM54" s="81"/>
      <c r="BW54" s="81"/>
      <c r="CG54" s="81"/>
    </row>
    <row r="55" spans="34:85" x14ac:dyDescent="0.55000000000000004">
      <c r="AH55" s="81"/>
      <c r="AI55" s="81"/>
      <c r="AS55" s="81"/>
      <c r="BC55" s="81"/>
      <c r="BM55" s="81"/>
      <c r="BW55" s="81"/>
      <c r="CG55" s="81"/>
    </row>
    <row r="56" spans="34:85" x14ac:dyDescent="0.55000000000000004">
      <c r="AH56" s="81"/>
      <c r="AI56" s="81"/>
      <c r="AS56" s="81"/>
      <c r="BC56" s="81"/>
      <c r="BM56" s="81"/>
      <c r="BW56" s="81"/>
      <c r="CG56" s="81"/>
    </row>
    <row r="57" spans="34:85" x14ac:dyDescent="0.55000000000000004">
      <c r="AH57" s="81"/>
      <c r="AI57" s="81"/>
      <c r="AS57" s="81"/>
      <c r="BC57" s="81"/>
      <c r="BM57" s="81"/>
      <c r="BW57" s="81"/>
      <c r="CG57" s="81"/>
    </row>
    <row r="58" spans="34:85" x14ac:dyDescent="0.55000000000000004">
      <c r="AH58" s="81"/>
      <c r="AI58" s="81"/>
      <c r="AS58" s="81"/>
      <c r="BC58" s="81"/>
      <c r="BM58" s="81"/>
      <c r="BW58" s="81"/>
      <c r="CG58" s="81"/>
    </row>
    <row r="59" spans="34:85" x14ac:dyDescent="0.55000000000000004">
      <c r="AH59" s="81"/>
      <c r="AI59" s="81"/>
      <c r="AS59" s="81"/>
      <c r="BC59" s="81"/>
      <c r="BM59" s="81"/>
      <c r="BW59" s="81"/>
      <c r="CG59" s="81"/>
    </row>
    <row r="60" spans="34:85" x14ac:dyDescent="0.55000000000000004">
      <c r="AH60" s="81"/>
      <c r="AI60" s="81"/>
      <c r="AS60" s="81"/>
      <c r="BC60" s="81"/>
      <c r="BM60" s="81"/>
      <c r="BW60" s="81"/>
      <c r="CG60" s="81"/>
    </row>
    <row r="61" spans="34:85" x14ac:dyDescent="0.55000000000000004">
      <c r="AH61" s="81"/>
      <c r="AI61" s="81"/>
      <c r="AS61" s="81"/>
      <c r="BC61" s="81"/>
      <c r="BM61" s="81"/>
      <c r="BW61" s="81"/>
      <c r="CG61" s="81"/>
    </row>
    <row r="62" spans="34:85" x14ac:dyDescent="0.55000000000000004">
      <c r="AH62" s="81"/>
      <c r="AI62" s="81"/>
      <c r="AS62" s="81"/>
      <c r="BC62" s="81"/>
      <c r="BM62" s="81"/>
      <c r="BW62" s="81"/>
      <c r="CG62" s="81"/>
    </row>
    <row r="63" spans="34:85" x14ac:dyDescent="0.55000000000000004">
      <c r="AH63" s="81"/>
      <c r="AI63" s="81"/>
      <c r="AS63" s="81"/>
      <c r="BC63" s="81"/>
      <c r="BM63" s="81"/>
      <c r="BW63" s="81"/>
      <c r="CG63" s="81"/>
    </row>
    <row r="64" spans="34:85" x14ac:dyDescent="0.55000000000000004">
      <c r="AH64" s="81"/>
      <c r="AI64" s="81"/>
      <c r="AS64" s="81"/>
      <c r="BC64" s="81"/>
      <c r="BM64" s="81"/>
      <c r="BW64" s="81"/>
      <c r="CG64" s="81"/>
    </row>
    <row r="65" spans="34:85" x14ac:dyDescent="0.55000000000000004">
      <c r="AH65" s="81"/>
      <c r="AI65" s="81"/>
      <c r="AS65" s="81"/>
      <c r="BC65" s="81"/>
      <c r="BM65" s="81"/>
      <c r="BW65" s="81"/>
      <c r="CG65" s="81"/>
    </row>
    <row r="66" spans="34:85" x14ac:dyDescent="0.55000000000000004">
      <c r="AH66" s="81"/>
      <c r="AI66" s="81"/>
      <c r="AS66" s="81"/>
      <c r="BC66" s="81"/>
      <c r="BM66" s="81"/>
      <c r="BW66" s="81"/>
      <c r="CG66" s="81"/>
    </row>
    <row r="67" spans="34:85" x14ac:dyDescent="0.55000000000000004">
      <c r="AH67" s="81"/>
      <c r="AI67" s="81"/>
      <c r="AS67" s="81"/>
      <c r="BC67" s="81"/>
      <c r="BM67" s="81"/>
      <c r="BW67" s="81"/>
      <c r="CG67" s="81"/>
    </row>
    <row r="68" spans="34:85" x14ac:dyDescent="0.55000000000000004">
      <c r="AH68" s="81"/>
      <c r="AI68" s="81"/>
      <c r="AS68" s="81"/>
      <c r="BC68" s="81"/>
      <c r="BM68" s="81"/>
      <c r="BW68" s="81"/>
      <c r="CG68" s="81"/>
    </row>
    <row r="69" spans="34:85" x14ac:dyDescent="0.55000000000000004">
      <c r="AH69" s="81"/>
      <c r="AI69" s="81"/>
      <c r="AS69" s="81"/>
      <c r="BC69" s="81"/>
      <c r="BM69" s="81"/>
      <c r="BW69" s="81"/>
      <c r="CG69" s="81"/>
    </row>
    <row r="70" spans="34:85" x14ac:dyDescent="0.55000000000000004">
      <c r="AH70" s="81"/>
      <c r="AI70" s="81"/>
      <c r="AS70" s="81"/>
      <c r="BC70" s="81"/>
      <c r="BM70" s="81"/>
      <c r="BW70" s="81"/>
      <c r="CG70" s="81"/>
    </row>
    <row r="71" spans="34:85" x14ac:dyDescent="0.55000000000000004">
      <c r="AH71" s="81"/>
      <c r="AI71" s="81"/>
      <c r="AS71" s="81"/>
      <c r="BC71" s="81"/>
      <c r="BM71" s="81"/>
      <c r="BW71" s="81"/>
      <c r="CG71" s="81"/>
    </row>
    <row r="72" spans="34:85" x14ac:dyDescent="0.55000000000000004">
      <c r="AH72" s="81"/>
      <c r="AI72" s="81"/>
      <c r="AS72" s="81"/>
      <c r="BC72" s="81"/>
      <c r="BM72" s="81"/>
      <c r="BW72" s="81"/>
      <c r="CG72" s="81"/>
    </row>
    <row r="73" spans="34:85" x14ac:dyDescent="0.55000000000000004">
      <c r="AH73" s="81"/>
      <c r="AI73" s="81"/>
      <c r="AS73" s="81"/>
      <c r="BC73" s="81"/>
      <c r="BM73" s="81"/>
      <c r="BW73" s="81"/>
      <c r="CG73" s="81"/>
    </row>
    <row r="74" spans="34:85" x14ac:dyDescent="0.55000000000000004">
      <c r="AH74" s="81"/>
      <c r="AI74" s="81"/>
      <c r="AS74" s="81"/>
      <c r="BC74" s="81"/>
      <c r="BM74" s="81"/>
      <c r="BW74" s="81"/>
      <c r="CG74" s="81"/>
    </row>
    <row r="75" spans="34:85" x14ac:dyDescent="0.55000000000000004">
      <c r="AH75" s="81"/>
      <c r="AI75" s="81"/>
      <c r="AS75" s="81"/>
      <c r="BC75" s="81"/>
      <c r="BM75" s="81"/>
      <c r="BW75" s="81"/>
      <c r="CG75" s="81"/>
    </row>
    <row r="76" spans="34:85" x14ac:dyDescent="0.55000000000000004">
      <c r="AH76" s="81"/>
      <c r="AI76" s="81"/>
      <c r="AS76" s="81"/>
      <c r="BC76" s="81"/>
      <c r="BM76" s="81"/>
      <c r="BW76" s="81"/>
      <c r="CG76" s="81"/>
    </row>
    <row r="77" spans="34:85" x14ac:dyDescent="0.55000000000000004">
      <c r="AH77" s="81"/>
      <c r="AI77" s="81"/>
      <c r="AS77" s="81"/>
      <c r="BC77" s="81"/>
      <c r="BM77" s="81"/>
      <c r="BW77" s="81"/>
      <c r="CG77" s="81"/>
    </row>
    <row r="78" spans="34:85" x14ac:dyDescent="0.55000000000000004">
      <c r="AH78" s="81"/>
      <c r="AI78" s="81"/>
      <c r="AS78" s="81"/>
      <c r="BC78" s="81"/>
      <c r="BM78" s="81"/>
      <c r="BW78" s="81"/>
      <c r="CG78" s="81"/>
    </row>
    <row r="79" spans="34:85" x14ac:dyDescent="0.55000000000000004">
      <c r="AH79" s="81"/>
      <c r="AI79" s="81"/>
      <c r="AS79" s="81"/>
      <c r="BC79" s="81"/>
      <c r="BM79" s="81"/>
      <c r="BW79" s="81"/>
      <c r="CG79" s="81"/>
    </row>
    <row r="80" spans="34:85" x14ac:dyDescent="0.55000000000000004">
      <c r="AH80" s="81"/>
      <c r="AI80" s="81"/>
      <c r="AS80" s="81"/>
      <c r="BC80" s="81"/>
      <c r="BM80" s="81"/>
      <c r="BW80" s="81"/>
      <c r="CG80" s="81"/>
    </row>
    <row r="81" spans="34:85" x14ac:dyDescent="0.55000000000000004">
      <c r="AH81" s="81"/>
      <c r="AI81" s="81"/>
      <c r="AS81" s="81"/>
      <c r="BC81" s="81"/>
      <c r="BM81" s="81"/>
      <c r="BW81" s="81"/>
      <c r="CG81" s="81"/>
    </row>
    <row r="82" spans="34:85" x14ac:dyDescent="0.55000000000000004">
      <c r="AH82" s="81"/>
      <c r="AI82" s="81"/>
      <c r="AS82" s="81"/>
      <c r="BC82" s="81"/>
      <c r="BM82" s="81"/>
      <c r="BW82" s="81"/>
      <c r="CG82" s="81"/>
    </row>
    <row r="83" spans="34:85" x14ac:dyDescent="0.55000000000000004">
      <c r="AH83" s="81"/>
      <c r="AI83" s="81"/>
      <c r="AS83" s="81"/>
      <c r="BC83" s="81"/>
      <c r="BM83" s="81"/>
      <c r="BW83" s="81"/>
      <c r="CG83" s="81"/>
    </row>
    <row r="84" spans="34:85" x14ac:dyDescent="0.55000000000000004">
      <c r="AH84" s="81"/>
      <c r="AI84" s="81"/>
      <c r="AS84" s="81"/>
      <c r="BC84" s="81"/>
      <c r="BM84" s="81"/>
      <c r="BW84" s="81"/>
      <c r="CG84" s="81"/>
    </row>
    <row r="85" spans="34:85" x14ac:dyDescent="0.55000000000000004">
      <c r="AH85" s="81"/>
      <c r="AI85" s="81"/>
      <c r="AS85" s="81"/>
      <c r="BC85" s="81"/>
      <c r="BM85" s="81"/>
      <c r="BW85" s="81"/>
      <c r="CG85" s="81"/>
    </row>
    <row r="86" spans="34:85" x14ac:dyDescent="0.55000000000000004">
      <c r="AH86" s="81"/>
      <c r="AI86" s="81"/>
      <c r="AS86" s="81"/>
      <c r="BC86" s="81"/>
      <c r="BM86" s="81"/>
      <c r="BW86" s="81"/>
      <c r="CG86" s="81"/>
    </row>
    <row r="87" spans="34:85" x14ac:dyDescent="0.55000000000000004">
      <c r="AH87" s="81"/>
      <c r="AI87" s="81"/>
      <c r="AS87" s="81"/>
      <c r="BC87" s="81"/>
      <c r="BM87" s="81"/>
      <c r="BW87" s="81"/>
      <c r="CG87" s="81"/>
    </row>
    <row r="88" spans="34:85" x14ac:dyDescent="0.55000000000000004">
      <c r="AH88" s="81"/>
      <c r="AI88" s="81"/>
      <c r="AS88" s="81"/>
      <c r="BC88" s="81"/>
      <c r="BM88" s="81"/>
      <c r="BW88" s="81"/>
      <c r="CG88" s="81"/>
    </row>
    <row r="89" spans="34:85" x14ac:dyDescent="0.55000000000000004">
      <c r="AH89" s="81"/>
      <c r="AI89" s="81"/>
      <c r="AS89" s="81"/>
      <c r="BC89" s="81"/>
      <c r="BM89" s="81"/>
      <c r="BW89" s="81"/>
      <c r="CG89" s="81"/>
    </row>
    <row r="90" spans="34:85" x14ac:dyDescent="0.55000000000000004">
      <c r="AH90" s="81"/>
      <c r="AI90" s="81"/>
      <c r="AS90" s="81"/>
      <c r="BC90" s="81"/>
      <c r="BM90" s="81"/>
      <c r="BW90" s="81"/>
      <c r="CG90" s="81"/>
    </row>
    <row r="91" spans="34:85" x14ac:dyDescent="0.55000000000000004">
      <c r="AH91" s="81"/>
      <c r="AI91" s="81"/>
      <c r="AS91" s="81"/>
      <c r="BC91" s="81"/>
      <c r="BM91" s="81"/>
      <c r="BW91" s="81"/>
      <c r="CG91" s="81"/>
    </row>
    <row r="92" spans="34:85" x14ac:dyDescent="0.55000000000000004">
      <c r="AH92" s="81"/>
      <c r="AI92" s="81"/>
      <c r="AS92" s="81"/>
      <c r="BC92" s="81"/>
      <c r="BM92" s="81"/>
      <c r="BW92" s="81"/>
      <c r="CG92" s="81"/>
    </row>
    <row r="93" spans="34:85" x14ac:dyDescent="0.55000000000000004">
      <c r="AH93" s="81"/>
      <c r="AI93" s="81"/>
      <c r="AS93" s="81"/>
      <c r="BC93" s="81"/>
      <c r="BM93" s="81"/>
      <c r="BW93" s="81"/>
      <c r="CG93" s="81"/>
    </row>
    <row r="94" spans="34:85" x14ac:dyDescent="0.55000000000000004">
      <c r="AH94" s="81"/>
      <c r="AI94" s="81"/>
      <c r="AS94" s="81"/>
      <c r="BC94" s="81"/>
      <c r="BM94" s="81"/>
      <c r="BW94" s="81"/>
      <c r="CG94" s="81"/>
    </row>
    <row r="95" spans="34:85" x14ac:dyDescent="0.55000000000000004">
      <c r="AH95" s="81"/>
      <c r="AI95" s="81"/>
      <c r="AS95" s="81"/>
      <c r="BC95" s="81"/>
      <c r="BM95" s="81"/>
      <c r="BW95" s="81"/>
      <c r="CG95" s="81"/>
    </row>
    <row r="96" spans="34:85" x14ac:dyDescent="0.55000000000000004">
      <c r="AH96" s="81"/>
      <c r="AI96" s="81"/>
      <c r="AS96" s="81"/>
      <c r="BC96" s="81"/>
      <c r="BM96" s="81"/>
      <c r="BW96" s="81"/>
      <c r="CG96" s="81"/>
    </row>
    <row r="97" spans="34:85" x14ac:dyDescent="0.55000000000000004">
      <c r="AH97" s="81"/>
      <c r="AI97" s="81"/>
      <c r="AS97" s="81"/>
      <c r="BC97" s="81"/>
      <c r="BM97" s="81"/>
      <c r="BW97" s="81"/>
      <c r="CG97" s="81"/>
    </row>
    <row r="98" spans="34:85" x14ac:dyDescent="0.55000000000000004">
      <c r="AH98" s="81"/>
      <c r="AI98" s="81"/>
      <c r="AS98" s="81"/>
      <c r="BC98" s="81"/>
      <c r="BM98" s="81"/>
      <c r="BW98" s="81"/>
      <c r="CG98" s="81"/>
    </row>
    <row r="99" spans="34:85" x14ac:dyDescent="0.55000000000000004">
      <c r="AH99" s="81"/>
      <c r="AI99" s="81"/>
      <c r="AS99" s="81"/>
      <c r="BC99" s="81"/>
      <c r="BM99" s="81"/>
      <c r="BW99" s="81"/>
      <c r="CG99" s="81"/>
    </row>
    <row r="100" spans="34:85" x14ac:dyDescent="0.55000000000000004">
      <c r="AH100" s="81"/>
      <c r="AI100" s="81"/>
      <c r="AS100" s="81"/>
      <c r="BC100" s="81"/>
      <c r="BM100" s="81"/>
      <c r="BW100" s="81"/>
      <c r="CG100" s="81"/>
    </row>
  </sheetData>
  <mergeCells count="34">
    <mergeCell ref="A3:A5"/>
    <mergeCell ref="K4:L4"/>
    <mergeCell ref="J3:L3"/>
    <mergeCell ref="T3:V3"/>
    <mergeCell ref="U4:V4"/>
    <mergeCell ref="AD3:AF3"/>
    <mergeCell ref="B3:I3"/>
    <mergeCell ref="C4:I4"/>
    <mergeCell ref="AN3:AP3"/>
    <mergeCell ref="AW4:AW5"/>
    <mergeCell ref="AM4:AM5"/>
    <mergeCell ref="S4:S5"/>
    <mergeCell ref="AC4:AC5"/>
    <mergeCell ref="AE4:AF4"/>
    <mergeCell ref="AY4:AZ4"/>
    <mergeCell ref="AO4:AP4"/>
    <mergeCell ref="AX3:AZ3"/>
    <mergeCell ref="CB3:CD3"/>
    <mergeCell ref="CK4:CK5"/>
    <mergeCell ref="BR3:BT3"/>
    <mergeCell ref="CA4:CA5"/>
    <mergeCell ref="BQ4:BQ5"/>
    <mergeCell ref="BG4:BG5"/>
    <mergeCell ref="BH3:BJ3"/>
    <mergeCell ref="BI4:BJ4"/>
    <mergeCell ref="CO3:CO4"/>
    <mergeCell ref="CQ3:CS4"/>
    <mergeCell ref="CT3:CV4"/>
    <mergeCell ref="CL3:CL4"/>
    <mergeCell ref="BS4:BT4"/>
    <mergeCell ref="CP3:CP4"/>
    <mergeCell ref="CC4:CD4"/>
    <mergeCell ref="CN3:CN4"/>
    <mergeCell ref="CM3:CM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55</vt:i4>
      </vt:variant>
      <vt:variant>
        <vt:lpstr>ช่วงที่มีชื่อ</vt:lpstr>
      </vt:variant>
      <vt:variant>
        <vt:i4>13</vt:i4>
      </vt:variant>
    </vt:vector>
  </HeadingPairs>
  <TitlesOfParts>
    <vt:vector size="68" baseType="lpstr">
      <vt:lpstr>หน้างบฯ</vt:lpstr>
      <vt:lpstr>1.สรุปการใช้เงิน</vt:lpstr>
      <vt:lpstr>2.รายละเอียดการใช้เงิน</vt:lpstr>
      <vt:lpstr>3.ตารางโอนเงินให้ สศท.</vt:lpstr>
      <vt:lpstr>1สรุปรายงบ (2)</vt:lpstr>
      <vt:lpstr>2สรุปตามการจัดสรร (2)</vt:lpstr>
      <vt:lpstr>1. เปรียบเทียบกับ ส่วนการเงิน</vt:lpstr>
      <vt:lpstr>1.สรุปรายละเอียดการรับจ่าย งปม.</vt:lpstr>
      <vt:lpstr>แผนส่วน Q4</vt:lpstr>
      <vt:lpstr>1. แผน-ผลการใช้จ่าย ส.ค. - ก.ย.</vt:lpstr>
      <vt:lpstr>แผนส่วน ส.ค. - ก.ย. 65</vt:lpstr>
      <vt:lpstr>1. แผน-ผลการใช้จ่าย เม.ย.-ก (2)</vt:lpstr>
      <vt:lpstr>รายละเอียด MA ปี 66</vt:lpstr>
      <vt:lpstr> MA ปี 66 ณ Q1-2</vt:lpstr>
      <vt:lpstr>1. แผน-ผลการใช้จ่าย เม.ย.-ก.ย</vt:lpstr>
      <vt:lpstr>แผนใช้จ่าย เม.ย.-ก.ย</vt:lpstr>
      <vt:lpstr>2 สรุปตามงบที่ได้รับมาแล้วcopy</vt:lpstr>
      <vt:lpstr>2 สรุปตามงบที่ได้รับมาแล้ว</vt:lpstr>
      <vt:lpstr>โอนเปลี่ยนแปลง ปี66</vt:lpstr>
      <vt:lpstr>สรุปเงินรับโอน </vt:lpstr>
      <vt:lpstr>จัดสรรงบประมาณ</vt:lpstr>
      <vt:lpstr>จัดสรรงบประมาณ (2)</vt:lpstr>
      <vt:lpstr>จัดสรรงบประมาณ 3</vt:lpstr>
      <vt:lpstr>แผนใช้จ่าย 66 พลางก่อน 8 เดือน</vt:lpstr>
      <vt:lpstr>กราฟ </vt:lpstr>
      <vt:lpstr>5สรุปรายงบ (66 พลางก่อน)</vt:lpstr>
      <vt:lpstr>3ผลเบิกจ่ายส่วนฝ่าย</vt:lpstr>
      <vt:lpstr>5. สรุปรายงบ 2567</vt:lpstr>
      <vt:lpstr>5. สรุปรายงบ 2568</vt:lpstr>
      <vt:lpstr>4 สรุปตามการจัดสรร 2+3</vt:lpstr>
      <vt:lpstr>3 จัดสรรเพื่อบริหาร</vt:lpstr>
      <vt:lpstr>2 จัดสรรให้ส่วนฝ่าย</vt:lpstr>
      <vt:lpstr> 1.ประยุกต์ใช้เทคโนฯ</vt:lpstr>
      <vt:lpstr>2.บูรณาการฯ</vt:lpstr>
      <vt:lpstr>3.single Maps</vt:lpstr>
      <vt:lpstr>4.ต้นทุน</vt:lpstr>
      <vt:lpstr>5.Crop Cutiing</vt:lpstr>
      <vt:lpstr>6.จัดทำข้อมูลปริมาณการผลิตพืชเศ</vt:lpstr>
      <vt:lpstr>7.ประมาณการและติดตามภาวะ</vt:lpstr>
      <vt:lpstr>8.รายงานสถานการณ์โดย ศกอ.</vt:lpstr>
      <vt:lpstr>9. เกษตรปลอดภัย</vt:lpstr>
      <vt:lpstr>10.เกษตรอัตลักษณ์</vt:lpstr>
      <vt:lpstr>11.บริหารจัดการฟาร์ม</vt:lpstr>
      <vt:lpstr>11.ไม้ผล</vt:lpstr>
      <vt:lpstr>12.Digtal survey</vt:lpstr>
      <vt:lpstr>13.สภาพอากาศต่อต้นทุน</vt:lpstr>
      <vt:lpstr>14.พัฒนา ศกอ.</vt:lpstr>
      <vt:lpstr>15.ข้อมูลกรอบตัวอย่างโดย อกม</vt:lpstr>
      <vt:lpstr>16.Socio</vt:lpstr>
      <vt:lpstr>17.ซื้อคอมทดแทน</vt:lpstr>
      <vt:lpstr>19.จัดหาคอมและซอฟท์แวร์</vt:lpstr>
      <vt:lpstr>20.ซื้อคอมทดแทนระบบเครือข่าย</vt:lpstr>
      <vt:lpstr>คชจ.ตปท.</vt:lpstr>
      <vt:lpstr>ประชุมระหว่างประเทศ</vt:lpstr>
      <vt:lpstr>Sheet2</vt:lpstr>
      <vt:lpstr>'2 สรุปตามงบที่ได้รับมาแล้ว'!Print_Area</vt:lpstr>
      <vt:lpstr>'2 สรุปตามงบที่ได้รับมาแล้วcopy'!Print_Area</vt:lpstr>
      <vt:lpstr>'4 สรุปตามการจัดสรร 2+3'!Print_Area</vt:lpstr>
      <vt:lpstr>'5. สรุปรายงบ 2567'!Print_Area</vt:lpstr>
      <vt:lpstr>'5. สรุปรายงบ 2568'!Print_Area</vt:lpstr>
      <vt:lpstr>'5สรุปรายงบ (66 พลางก่อน)'!Print_Area</vt:lpstr>
      <vt:lpstr>'2.รายละเอียดการใช้เงิน'!Print_Titles</vt:lpstr>
      <vt:lpstr>'5. สรุปรายงบ 2568'!Print_Titles</vt:lpstr>
      <vt:lpstr>Sheet2!Print_Titles</vt:lpstr>
      <vt:lpstr>จัดสรรงบประมาณ!Print_Titles</vt:lpstr>
      <vt:lpstr>'จัดสรรงบประมาณ (2)'!Print_Titles</vt:lpstr>
      <vt:lpstr>'จัดสรรงบประมาณ 3'!Print_Titles</vt:lpstr>
      <vt:lpstr>'แผนใช้จ่าย 66 พลางก่อน 8 เดือน'!Print_Titles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กนกวรรณ นันขุดทด</cp:lastModifiedBy>
  <cp:lastPrinted>2025-01-03T00:15:57Z</cp:lastPrinted>
  <dcterms:created xsi:type="dcterms:W3CDTF">2003-01-15T07:54:10Z</dcterms:created>
  <dcterms:modified xsi:type="dcterms:W3CDTF">2025-01-03T00:18:26Z</dcterms:modified>
</cp:coreProperties>
</file>